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5325" tabRatio="670" activeTab="1"/>
  </bookViews>
  <sheets>
    <sheet name="Inhoudsopgave en Toelichting" sheetId="1" r:id="rId1"/>
    <sheet name="2Aanvraag start nieuwe POH-S" sheetId="2" r:id="rId2"/>
    <sheet name="3Wijzig POH-S (fte of ketendbc)" sheetId="3" r:id="rId3"/>
    <sheet name="4Wijzig POH-S start ouderenzorg" sheetId="4" r:id="rId4"/>
    <sheet name="Data" sheetId="5" state="veryHidden" r:id="rId5"/>
  </sheets>
  <definedNames>
    <definedName name="_xlfn.IFERROR" hidden="1">#NAME?</definedName>
    <definedName name="a_huisarts1_agb">'2Aanvraag start nieuwe POH-S'!$D$24</definedName>
    <definedName name="a_huisarts1_mv">'2Aanvraag start nieuwe POH-S'!$D$23</definedName>
    <definedName name="a_huisarts1_naam">'2Aanvraag start nieuwe POH-S'!$D$20</definedName>
    <definedName name="a_huisarts1_tv">'2Aanvraag start nieuwe POH-S'!$D$21</definedName>
    <definedName name="a_huisarts1_vl">'2Aanvraag start nieuwe POH-S'!$D$22</definedName>
    <definedName name="a_huisarts10_agb">'2Aanvraag start nieuwe POH-S'!$D$72</definedName>
    <definedName name="a_huisarts10_mv">'2Aanvraag start nieuwe POH-S'!$D$71</definedName>
    <definedName name="a_huisarts10_naam">'2Aanvraag start nieuwe POH-S'!$D$68</definedName>
    <definedName name="a_huisarts10_tv">'2Aanvraag start nieuwe POH-S'!$D$69</definedName>
    <definedName name="a_huisarts10_vl">'2Aanvraag start nieuwe POH-S'!$D$70</definedName>
    <definedName name="a_huisarts2_agb">'2Aanvraag start nieuwe POH-S'!$D$32</definedName>
    <definedName name="a_huisarts2_mv">'2Aanvraag start nieuwe POH-S'!$D$31</definedName>
    <definedName name="a_huisarts2_naam">'2Aanvraag start nieuwe POH-S'!$D$28</definedName>
    <definedName name="a_huisarts2_tv">'2Aanvraag start nieuwe POH-S'!$D$29</definedName>
    <definedName name="a_huisarts2_vl">'2Aanvraag start nieuwe POH-S'!$D$30</definedName>
    <definedName name="a_huisarts3_agb">'2Aanvraag start nieuwe POH-S'!$D$37</definedName>
    <definedName name="a_huisarts3_mv">'2Aanvraag start nieuwe POH-S'!$D$36</definedName>
    <definedName name="a_huisarts3_naam">'2Aanvraag start nieuwe POH-S'!$D$33</definedName>
    <definedName name="a_huisarts3_tv">'2Aanvraag start nieuwe POH-S'!$D$34</definedName>
    <definedName name="a_huisarts3_vl">'2Aanvraag start nieuwe POH-S'!$D$35</definedName>
    <definedName name="a_huisarts4_agb">'2Aanvraag start nieuwe POH-S'!$D$42</definedName>
    <definedName name="a_huisarts4_mv">'2Aanvraag start nieuwe POH-S'!$D$41</definedName>
    <definedName name="a_huisarts4_naam">'2Aanvraag start nieuwe POH-S'!$D$38</definedName>
    <definedName name="a_huisarts4_tv">'2Aanvraag start nieuwe POH-S'!$D$39</definedName>
    <definedName name="a_huisarts4_vl">'2Aanvraag start nieuwe POH-S'!$D$40</definedName>
    <definedName name="a_huisarts5_agb">'2Aanvraag start nieuwe POH-S'!$D$47</definedName>
    <definedName name="a_huisarts5_mv">'2Aanvraag start nieuwe POH-S'!$D$46</definedName>
    <definedName name="a_huisarts5_naam">'2Aanvraag start nieuwe POH-S'!$D$43</definedName>
    <definedName name="a_huisarts5_tv">'2Aanvraag start nieuwe POH-S'!$D$44</definedName>
    <definedName name="a_huisarts5_vl">'2Aanvraag start nieuwe POH-S'!$D$45</definedName>
    <definedName name="a_huisarts6_agb">'2Aanvraag start nieuwe POH-S'!$D$52</definedName>
    <definedName name="a_huisarts6_mv">'2Aanvraag start nieuwe POH-S'!$D$51</definedName>
    <definedName name="a_huisarts6_naam">'2Aanvraag start nieuwe POH-S'!$D$48</definedName>
    <definedName name="a_huisarts6_tv">'2Aanvraag start nieuwe POH-S'!$D$49</definedName>
    <definedName name="a_huisarts6_vl">'2Aanvraag start nieuwe POH-S'!$D$50</definedName>
    <definedName name="a_huisarts7_agb">'2Aanvraag start nieuwe POH-S'!$D$57</definedName>
    <definedName name="a_huisarts7_mv">'2Aanvraag start nieuwe POH-S'!$D$56</definedName>
    <definedName name="a_huisarts7_naam">'2Aanvraag start nieuwe POH-S'!$D$53</definedName>
    <definedName name="a_huisarts7_tv">'2Aanvraag start nieuwe POH-S'!$D$54</definedName>
    <definedName name="a_huisarts7_vl">'2Aanvraag start nieuwe POH-S'!$D$55</definedName>
    <definedName name="a_huisarts8_agb">'2Aanvraag start nieuwe POH-S'!$D$62</definedName>
    <definedName name="a_huisarts8_mv">'2Aanvraag start nieuwe POH-S'!$D$61</definedName>
    <definedName name="a_huisarts8_naam">'2Aanvraag start nieuwe POH-S'!$D$58</definedName>
    <definedName name="a_huisarts8_tv">'2Aanvraag start nieuwe POH-S'!$D$59</definedName>
    <definedName name="a_huisarts8_vl">'2Aanvraag start nieuwe POH-S'!$D$60</definedName>
    <definedName name="a_huisarts9_agb">'2Aanvraag start nieuwe POH-S'!$D$67</definedName>
    <definedName name="a_huisarts9_mv">'2Aanvraag start nieuwe POH-S'!$D$66</definedName>
    <definedName name="a_huisarts9_naam">'2Aanvraag start nieuwe POH-S'!$D$63</definedName>
    <definedName name="a_huisarts9_tv">'2Aanvraag start nieuwe POH-S'!$D$64</definedName>
    <definedName name="a_huisarts9_vl">'2Aanvraag start nieuwe POH-S'!$D$65</definedName>
    <definedName name="a_praktijk_agb">'2Aanvraag start nieuwe POH-S'!$D$15</definedName>
    <definedName name="a_praktijk_mail">'2Aanvraag start nieuwe POH-S'!$D$17</definedName>
    <definedName name="a_praktijk_naam">'2Aanvraag start nieuwe POH-S'!$D$14</definedName>
    <definedName name="a_praktijk_plaats">'2Aanvraag start nieuwe POH-S'!$D$16</definedName>
    <definedName name="a_vw1">'2Aanvraag start nieuwe POH-S'!$D$76</definedName>
    <definedName name="a_vw2">'2Aanvraag start nieuwe POH-S'!$D$82</definedName>
    <definedName name="a_vw3">'2Aanvraag start nieuwe POH-S'!$D$83</definedName>
    <definedName name="a_vw4">'2Aanvraag start nieuwe POH-S'!$D$86</definedName>
    <definedName name="a_vw5">'2Aanvraag start nieuwe POH-S'!$D$87</definedName>
    <definedName name="a_vw6">'2Aanvraag start nieuwe POH-S'!$D$88</definedName>
    <definedName name="aantalpat">'3Wijzig POH-S (fte of ketendbc)'!$D$82</definedName>
    <definedName name="afnameformatie">'3Wijzig POH-S (fte of ketendbc)'!$D$85</definedName>
    <definedName name="b_huisarts1_agb">'3Wijzig POH-S (fte of ketendbc)'!$D$24</definedName>
    <definedName name="b_huisarts1_mv">'3Wijzig POH-S (fte of ketendbc)'!$D$23</definedName>
    <definedName name="b_huisarts1_naam">'3Wijzig POH-S (fte of ketendbc)'!$D$20</definedName>
    <definedName name="b_huisarts1_tv">'3Wijzig POH-S (fte of ketendbc)'!$D$21</definedName>
    <definedName name="b_huisarts1_vl">'3Wijzig POH-S (fte of ketendbc)'!$D$22</definedName>
    <definedName name="b_huisarts10_agb">'3Wijzig POH-S (fte of ketendbc)'!$D$72</definedName>
    <definedName name="b_huisarts10_mv">'3Wijzig POH-S (fte of ketendbc)'!$D$71</definedName>
    <definedName name="b_huisarts10_naam">'3Wijzig POH-S (fte of ketendbc)'!$D$68</definedName>
    <definedName name="b_huisarts10_tv">'3Wijzig POH-S (fte of ketendbc)'!$D$69</definedName>
    <definedName name="b_huisarts10_vl">'3Wijzig POH-S (fte of ketendbc)'!$D$70</definedName>
    <definedName name="b_huisarts2_agb">'3Wijzig POH-S (fte of ketendbc)'!$D$32</definedName>
    <definedName name="b_huisarts2_mv">'3Wijzig POH-S (fte of ketendbc)'!$D$31</definedName>
    <definedName name="b_huisarts2_naam">'3Wijzig POH-S (fte of ketendbc)'!$D$28</definedName>
    <definedName name="b_huisarts2_tv">'3Wijzig POH-S (fte of ketendbc)'!$D$29</definedName>
    <definedName name="b_huisarts2_vl">'3Wijzig POH-S (fte of ketendbc)'!$D$30</definedName>
    <definedName name="b_huisarts3_agb">'3Wijzig POH-S (fte of ketendbc)'!$D$37</definedName>
    <definedName name="b_huisarts3_mv">'3Wijzig POH-S (fte of ketendbc)'!$D$36</definedName>
    <definedName name="b_huisarts3_naam">'3Wijzig POH-S (fte of ketendbc)'!$D$33</definedName>
    <definedName name="b_huisarts3_tv">'3Wijzig POH-S (fte of ketendbc)'!$D$34</definedName>
    <definedName name="b_huisarts3_vl">'3Wijzig POH-S (fte of ketendbc)'!$D$35</definedName>
    <definedName name="b_huisarts4_agb">'3Wijzig POH-S (fte of ketendbc)'!$D$42</definedName>
    <definedName name="b_huisarts4_mv">'3Wijzig POH-S (fte of ketendbc)'!$D$41</definedName>
    <definedName name="b_huisarts4_naam">'3Wijzig POH-S (fte of ketendbc)'!$D$38</definedName>
    <definedName name="b_huisarts4_tv">'3Wijzig POH-S (fte of ketendbc)'!$D$39</definedName>
    <definedName name="b_huisarts4_vl">'3Wijzig POH-S (fte of ketendbc)'!$D$40</definedName>
    <definedName name="b_huisarts5_agb">'3Wijzig POH-S (fte of ketendbc)'!$D$47</definedName>
    <definedName name="b_huisarts5_mv">'3Wijzig POH-S (fte of ketendbc)'!$D$46</definedName>
    <definedName name="b_huisarts5_naam">'3Wijzig POH-S (fte of ketendbc)'!$D$43</definedName>
    <definedName name="b_huisarts5_tv">'3Wijzig POH-S (fte of ketendbc)'!$D$44</definedName>
    <definedName name="b_huisarts5_vl">'3Wijzig POH-S (fte of ketendbc)'!$D$45</definedName>
    <definedName name="b_huisarts6_agb">'3Wijzig POH-S (fte of ketendbc)'!$D$52</definedName>
    <definedName name="b_huisarts6_mv">'3Wijzig POH-S (fte of ketendbc)'!$D$51</definedName>
    <definedName name="b_huisarts6_naam">'3Wijzig POH-S (fte of ketendbc)'!$D$48</definedName>
    <definedName name="b_huisarts6_tv">'3Wijzig POH-S (fte of ketendbc)'!$D$49</definedName>
    <definedName name="b_huisarts6_vl">'3Wijzig POH-S (fte of ketendbc)'!$D$50</definedName>
    <definedName name="b_huisarts7_agb">'3Wijzig POH-S (fte of ketendbc)'!$D$57</definedName>
    <definedName name="b_huisarts7_mv">'3Wijzig POH-S (fte of ketendbc)'!$D$56</definedName>
    <definedName name="b_huisarts7_naam">'3Wijzig POH-S (fte of ketendbc)'!$D$53</definedName>
    <definedName name="b_huisarts7_tv">'3Wijzig POH-S (fte of ketendbc)'!$D$54</definedName>
    <definedName name="b_huisarts7_vl">'3Wijzig POH-S (fte of ketendbc)'!$D$55</definedName>
    <definedName name="b_huisarts8_agb">'3Wijzig POH-S (fte of ketendbc)'!$D$62</definedName>
    <definedName name="b_huisarts8_mv">'3Wijzig POH-S (fte of ketendbc)'!$D$61</definedName>
    <definedName name="b_huisarts8_naam">'3Wijzig POH-S (fte of ketendbc)'!$D$58</definedName>
    <definedName name="b_huisarts8_tv">'3Wijzig POH-S (fte of ketendbc)'!$D$59</definedName>
    <definedName name="b_huisarts8_vl">'3Wijzig POH-S (fte of ketendbc)'!$D$60</definedName>
    <definedName name="b_huisarts9_agb">'3Wijzig POH-S (fte of ketendbc)'!$D$67</definedName>
    <definedName name="b_huisarts9_mv">'3Wijzig POH-S (fte of ketendbc)'!$D$66</definedName>
    <definedName name="b_huisarts9_naam">'3Wijzig POH-S (fte of ketendbc)'!$D$63</definedName>
    <definedName name="b_huisarts9_tv">'3Wijzig POH-S (fte of ketendbc)'!$D$64</definedName>
    <definedName name="b_huisarts9_vl">'3Wijzig POH-S (fte of ketendbc)'!$D$65</definedName>
    <definedName name="b_praktijk_agb">'3Wijzig POH-S (fte of ketendbc)'!$D$15</definedName>
    <definedName name="b_praktijk_mail">'3Wijzig POH-S (fte of ketendbc)'!$D$17</definedName>
    <definedName name="b_praktijk_naam">'3Wijzig POH-S (fte of ketendbc)'!$D$14</definedName>
    <definedName name="b_praktijk_plaats">'3Wijzig POH-S (fte of ketendbc)'!$D$16</definedName>
    <definedName name="b_vw1">'3Wijzig POH-S (fte of ketendbc)'!$D$76</definedName>
    <definedName name="b_vw10">'3Wijzig POH-S (fte of ketendbc)'!$D$93</definedName>
    <definedName name="b_vw11">'3Wijzig POH-S (fte of ketendbc)'!$D$96</definedName>
    <definedName name="b_vw12">'3Wijzig POH-S (fte of ketendbc)'!$D$97</definedName>
    <definedName name="b_vw2">'3Wijzig POH-S (fte of ketendbc)'!$D$81</definedName>
    <definedName name="b_vw3">'3Wijzig POH-S (fte of ketendbc)'!$D$82</definedName>
    <definedName name="b_vw4">'3Wijzig POH-S (fte of ketendbc)'!$D$85</definedName>
    <definedName name="b_vw5">'3Wijzig POH-S (fte of ketendbc)'!$D$86</definedName>
    <definedName name="b_vw6">'3Wijzig POH-S (fte of ketendbc)'!$D$87</definedName>
    <definedName name="b_vw7">'3Wijzig POH-S (fte of ketendbc)'!$D$90</definedName>
    <definedName name="b_vw8">'3Wijzig POH-S (fte of ketendbc)'!$D$91</definedName>
    <definedName name="b_vw9">'3Wijzig POH-S (fte of ketendbc)'!$D$92</definedName>
    <definedName name="c_huisarts1_agb">'4Wijzig POH-S start ouderenzorg'!$D$25</definedName>
    <definedName name="c_huisarts1_mv">'4Wijzig POH-S start ouderenzorg'!$D$23</definedName>
    <definedName name="c_huisarts1_naam">'4Wijzig POH-S start ouderenzorg'!$D$20</definedName>
    <definedName name="c_huisarts1_tv">'4Wijzig POH-S start ouderenzorg'!$D$21</definedName>
    <definedName name="c_huisarts1_vl">'4Wijzig POH-S start ouderenzorg'!$D$22</definedName>
    <definedName name="c_huisarts10_agb">'4Wijzig POH-S start ouderenzorg'!$D$72</definedName>
    <definedName name="c_huisarts10_mv">'4Wijzig POH-S start ouderenzorg'!$D$71</definedName>
    <definedName name="c_huisarts10_naam">'4Wijzig POH-S start ouderenzorg'!$D$68</definedName>
    <definedName name="c_huisarts10_tv">'4Wijzig POH-S start ouderenzorg'!$D$69</definedName>
    <definedName name="c_huisarts10_vl">'4Wijzig POH-S start ouderenzorg'!$D$70</definedName>
    <definedName name="c_huisarts2_agb">'4Wijzig POH-S start ouderenzorg'!$D$32</definedName>
    <definedName name="c_huisarts2_mv">'4Wijzig POH-S start ouderenzorg'!$D$31</definedName>
    <definedName name="c_huisarts2_naam">'4Wijzig POH-S start ouderenzorg'!$D$28</definedName>
    <definedName name="c_huisarts2_tv">'4Wijzig POH-S start ouderenzorg'!$D$29</definedName>
    <definedName name="c_huisarts2_vl">'4Wijzig POH-S start ouderenzorg'!$D$30</definedName>
    <definedName name="c_huisarts3_agb">'4Wijzig POH-S start ouderenzorg'!$D$37</definedName>
    <definedName name="c_huisarts3_mv">'4Wijzig POH-S start ouderenzorg'!$D$36</definedName>
    <definedName name="c_huisarts3_naam">'4Wijzig POH-S start ouderenzorg'!$D$33</definedName>
    <definedName name="c_huisarts3_tv">'4Wijzig POH-S start ouderenzorg'!$D$34</definedName>
    <definedName name="c_huisarts3_vl">'4Wijzig POH-S start ouderenzorg'!$D$35</definedName>
    <definedName name="c_huisarts4_agb">'4Wijzig POH-S start ouderenzorg'!$D$42</definedName>
    <definedName name="c_huisarts4_mv">'4Wijzig POH-S start ouderenzorg'!$D$41</definedName>
    <definedName name="c_huisarts4_naam">'4Wijzig POH-S start ouderenzorg'!$D$38</definedName>
    <definedName name="c_huisarts4_tv">'4Wijzig POH-S start ouderenzorg'!$D$39</definedName>
    <definedName name="c_huisarts4_vl">'4Wijzig POH-S start ouderenzorg'!$D$40</definedName>
    <definedName name="c_huisarts5_agb">'4Wijzig POH-S start ouderenzorg'!$D$47</definedName>
    <definedName name="c_huisarts5_mv">'4Wijzig POH-S start ouderenzorg'!$D$46</definedName>
    <definedName name="c_huisarts5_naam">'4Wijzig POH-S start ouderenzorg'!$D$43</definedName>
    <definedName name="c_huisarts5_tv">'4Wijzig POH-S start ouderenzorg'!$D$44</definedName>
    <definedName name="c_huisarts5_vl">'4Wijzig POH-S start ouderenzorg'!$D$45</definedName>
    <definedName name="c_huisarts6_agb">'4Wijzig POH-S start ouderenzorg'!$D$52</definedName>
    <definedName name="c_huisarts6_mv">'4Wijzig POH-S start ouderenzorg'!$D$51</definedName>
    <definedName name="c_huisarts6_naam">'4Wijzig POH-S start ouderenzorg'!$D$48</definedName>
    <definedName name="c_huisarts6_tv">'4Wijzig POH-S start ouderenzorg'!$D$49</definedName>
    <definedName name="c_huisarts6_vl">'4Wijzig POH-S start ouderenzorg'!$D$50</definedName>
    <definedName name="c_huisarts7_agb">'4Wijzig POH-S start ouderenzorg'!$D$57</definedName>
    <definedName name="c_huisarts7_mv">'4Wijzig POH-S start ouderenzorg'!$D$56</definedName>
    <definedName name="c_huisarts7_naam">'4Wijzig POH-S start ouderenzorg'!$D$53</definedName>
    <definedName name="c_huisarts7_tv">'4Wijzig POH-S start ouderenzorg'!$D$54</definedName>
    <definedName name="c_huisarts7_vl">'4Wijzig POH-S start ouderenzorg'!$D$55</definedName>
    <definedName name="c_huisarts8_agb">'4Wijzig POH-S start ouderenzorg'!$D$62</definedName>
    <definedName name="c_huisarts8_mv">'4Wijzig POH-S start ouderenzorg'!$D$61</definedName>
    <definedName name="c_huisarts8_naam">'4Wijzig POH-S start ouderenzorg'!$D$58</definedName>
    <definedName name="c_huisarts8_tv">'4Wijzig POH-S start ouderenzorg'!$D$59</definedName>
    <definedName name="c_huisarts8_vl">'4Wijzig POH-S start ouderenzorg'!$D$60</definedName>
    <definedName name="c_huisarts9_agb">'4Wijzig POH-S start ouderenzorg'!$D$67</definedName>
    <definedName name="c_huisarts9_mv">'4Wijzig POH-S start ouderenzorg'!$D$66</definedName>
    <definedName name="c_huisarts9_naam">'4Wijzig POH-S start ouderenzorg'!$D$63</definedName>
    <definedName name="c_huisarts9_tv">'4Wijzig POH-S start ouderenzorg'!$D$64</definedName>
    <definedName name="c_huisarts9_vl">'4Wijzig POH-S start ouderenzorg'!$D$65</definedName>
    <definedName name="c_praktijk_agb">'4Wijzig POH-S start ouderenzorg'!$D$15</definedName>
    <definedName name="c_praktijk_mail">'4Wijzig POH-S start ouderenzorg'!$D$17</definedName>
    <definedName name="c_praktijk_naam">'4Wijzig POH-S start ouderenzorg'!$D$14</definedName>
    <definedName name="c_praktijk_plaats">'4Wijzig POH-S start ouderenzorg'!$D$16</definedName>
    <definedName name="c_vw1">'4Wijzig POH-S start ouderenzorg'!$D$76</definedName>
    <definedName name="c_vw10">'4Wijzig POH-S start ouderenzorg'!$D$101</definedName>
    <definedName name="c_vw11">'4Wijzig POH-S start ouderenzorg'!$D$103</definedName>
    <definedName name="c_vw12">'4Wijzig POH-S start ouderenzorg'!$D$106</definedName>
    <definedName name="c_vw13">'4Wijzig POH-S start ouderenzorg'!$D$107</definedName>
    <definedName name="c_vw2">'4Wijzig POH-S start ouderenzorg'!$D$81</definedName>
    <definedName name="c_vw3">'4Wijzig POH-S start ouderenzorg'!$D$84</definedName>
    <definedName name="c_vw4">'4Wijzig POH-S start ouderenzorg'!$D$85</definedName>
    <definedName name="c_vw5">'4Wijzig POH-S start ouderenzorg'!$D$86</definedName>
    <definedName name="c_vw6">'4Wijzig POH-S start ouderenzorg'!$D$89</definedName>
    <definedName name="c_vw7">'4Wijzig POH-S start ouderenzorg'!$D$91</definedName>
    <definedName name="c_vw8">'4Wijzig POH-S start ouderenzorg'!$D$92</definedName>
    <definedName name="c_vw9">'4Wijzig POH-S start ouderenzorg'!$D$99</definedName>
    <definedName name="IsLeeg2">'Data'!$C$3</definedName>
    <definedName name="IsLeeg3">'Data'!$C$4</definedName>
    <definedName name="IsLeeg4">'Data'!$C$5</definedName>
    <definedName name="ketenafslag">'3Wijzig POH-S (fte of ketendbc)'!$D$87</definedName>
    <definedName name="POHfte">'3Wijzig POH-S (fte of ketendbc)'!$D$81</definedName>
    <definedName name="totaalafslag">'3Wijzig POH-S (fte of ketendbc)'!$D$96</definedName>
  </definedNames>
  <calcPr fullCalcOnLoad="1"/>
</workbook>
</file>

<file path=xl/sharedStrings.xml><?xml version="1.0" encoding="utf-8"?>
<sst xmlns="http://schemas.openxmlformats.org/spreadsheetml/2006/main" count="426" uniqueCount="131">
  <si>
    <t>1.</t>
  </si>
  <si>
    <t>Dhr. / Mevr.</t>
  </si>
  <si>
    <t>Woonplaats</t>
  </si>
  <si>
    <t>Toelichting</t>
  </si>
  <si>
    <t>Naam huisarts:</t>
  </si>
  <si>
    <t>ja</t>
  </si>
  <si>
    <t>nee</t>
  </si>
  <si>
    <t>Voorletters huisarts (hoofdletters gescheiden door een punt)</t>
  </si>
  <si>
    <t>AGB zorgverlener (vb. 01/123456)</t>
  </si>
  <si>
    <t>AGB Praktijk (vb. 01/54321)</t>
  </si>
  <si>
    <t>Toevoeging achternaam (vb. van de)</t>
  </si>
  <si>
    <t>Instructie:</t>
  </si>
  <si>
    <t>Per patiënt per kwartaal</t>
  </si>
  <si>
    <t xml:space="preserve"> </t>
  </si>
  <si>
    <t>Totaal afslag</t>
  </si>
  <si>
    <t>Nieuw tarief</t>
  </si>
  <si>
    <t xml:space="preserve">U kunt dit wijzigingsformulier indienen bij Menzis via het contactformulier op de website van Menzis. </t>
  </si>
  <si>
    <t>Klik hier voor het contactformulier</t>
  </si>
  <si>
    <t>Dit wijzigingsfomulier maakt onderdeel uit van Bijlage 12 POH-S module 2016 - 2018.</t>
  </si>
  <si>
    <t>Wanneer u dit wijzigingsformulier volledig heeft ingevuld en akkoord gaat met de inhoud van het wijzigingsformulier dan gaat u ook akkoord met het hieronder weergegeven voor u geldende tarief en de inhoud van de POH-S module 2016 - 2018.</t>
  </si>
  <si>
    <t>Dit aanvraagfomulier maakt onderdeel uit van Bijlage 12 POH-S module 2016 - 2018.</t>
  </si>
  <si>
    <t>Wanneer u dit aanvraagformulier volledig heeft ingevuld en akkoord gaat met de inhoud van het aanvraagformulier dan gaat u ook akkoord met het hieronder weergegeven voor u geldende tarief en de inhoud van de POH-S module 2016 - 2018.</t>
  </si>
  <si>
    <t>2.</t>
  </si>
  <si>
    <t>3.</t>
  </si>
  <si>
    <t xml:space="preserve">U kunt dit aanvraagformulier indienen bij Menzis via het contactformulier op de website van Menzis. </t>
  </si>
  <si>
    <t>Totaal jaartarief POH-S</t>
  </si>
  <si>
    <t>Aangevraagde fte POH-S module</t>
  </si>
  <si>
    <t>Naam huisartsenpraktijk:</t>
  </si>
  <si>
    <t xml:space="preserve">Gegevens overige gecontracteerde huisartsen in de huisartsenpraktijk </t>
  </si>
  <si>
    <t>Gegevens huisartsenpraktijk</t>
  </si>
  <si>
    <t xml:space="preserve">Wanneer u met meerdere huisartsen op 1 praktijkcode declareert, dan ontvangen de betreffende huisartsen allemaal hetzelfde tarief. Hieronder kunt u de namen en AGB-codes van alle gecontracteerde huisartsen melden (geen huisartsen in loondienst). Voor de gehele praktijk is dan 1 formulier voldoende. </t>
  </si>
  <si>
    <t>Voorwaarden POH-S module</t>
  </si>
  <si>
    <t xml:space="preserve">U kunt maximaal de basisformatie POH-S van 0,14 fte per normpraktijk (2.168 patiënten) aanvragen. In de POH-S module wordt de directe en indirecte tijd van de POH-S vergoed. </t>
  </si>
  <si>
    <t>Aanvraag aantal uren POH-S per week via POH-S module</t>
  </si>
  <si>
    <t>Tarief</t>
  </si>
  <si>
    <t>Uren POH-S</t>
  </si>
  <si>
    <t>Ingangsdatum</t>
  </si>
  <si>
    <t>Dit is het nieuwe tarief dat u elk kwartaal per ingeschreven verzekerde kunt declareren.</t>
  </si>
  <si>
    <t>Dit is het bedrag dat op het voorlopige tarief wordt opgeteld. Formule: fte (opslag DM2 + COPD +VRM) x brutojaarinkomen (incl. indexatie) / 4 kwartalen / aantal ingeschreven verzekerden</t>
  </si>
  <si>
    <t>Totaal opslag</t>
  </si>
  <si>
    <t>Per verzekerde per kwartaal</t>
  </si>
  <si>
    <t>5.</t>
  </si>
  <si>
    <t>4.</t>
  </si>
  <si>
    <t>Voorlopige totale jaar tarief POH-S</t>
  </si>
  <si>
    <t>Per huisartsenpraktijk kan 1 huisarts namens de gehele praktijk een aanvraag voor de POH-S module invullen</t>
  </si>
  <si>
    <t>Per huisartsenpraktijk kan 1 huisarts namens de gehele praktijk een wijziging voor de POH-S module invullen</t>
  </si>
  <si>
    <t>Totaal aantal ingeschreven patiënten in de huisartsenpraktijk</t>
  </si>
  <si>
    <t xml:space="preserve">Wat is uw kwartaaltarief (€) 2016 voor de POH-S module?
</t>
  </si>
  <si>
    <t>Start nieuwe keten-dbc in het volgende kwartaal</t>
  </si>
  <si>
    <t>Inhoudsopgave formulier</t>
  </si>
  <si>
    <t>Tabblad 3: Wijzigen bestaande formatie POH-S</t>
  </si>
  <si>
    <t>Gegevens huisarts die namens de huisartsenpraktijk de module aanvraagt (graag alleen invullen wanneer u geen huisarts in loondienst bent)</t>
  </si>
  <si>
    <t xml:space="preserve">Dan kunt u deze wijziging bij Menzis indienen via het contactformulier op de website van Menzis.  </t>
  </si>
  <si>
    <r>
      <t xml:space="preserve">E-mail adres. </t>
    </r>
    <r>
      <rPr>
        <i/>
        <sz val="10"/>
        <color indexed="30"/>
        <rFont val="Arial"/>
        <family val="2"/>
      </rPr>
      <t>(Let op, op dit e-mail adres ontvangt u de bevestiging van de overeengekomen POH-S module 2016 - 2018)</t>
    </r>
  </si>
  <si>
    <r>
      <t>Volg de stappen van het aanvraagformulier hieronder en vul de</t>
    </r>
    <r>
      <rPr>
        <sz val="11"/>
        <color indexed="40"/>
        <rFont val="Arial"/>
        <family val="2"/>
      </rPr>
      <t xml:space="preserve"> </t>
    </r>
    <r>
      <rPr>
        <u val="single"/>
        <sz val="11"/>
        <color indexed="40"/>
        <rFont val="Arial"/>
        <family val="2"/>
      </rPr>
      <t>verplichte blauw gekleurde velden</t>
    </r>
    <r>
      <rPr>
        <sz val="11"/>
        <color indexed="30"/>
        <rFont val="Arial"/>
        <family val="2"/>
      </rPr>
      <t xml:space="preserve"> in.</t>
    </r>
  </si>
  <si>
    <t>Tabblad 2: Aanvraag start nieuwe POH-S</t>
  </si>
  <si>
    <r>
      <t xml:space="preserve">E-mail adres. </t>
    </r>
    <r>
      <rPr>
        <i/>
        <sz val="10"/>
        <color indexed="30"/>
        <rFont val="Arial"/>
        <family val="2"/>
      </rPr>
      <t>(Let op, op dit e-mail adres ontvangt u de bevestiging van de overeengekomen POH-S module 2016 - 2018)</t>
    </r>
  </si>
  <si>
    <t>Dit is uw totale opslag (€). Per kwartaal per verzekerde</t>
  </si>
  <si>
    <t>Naar aanleiding van dit ingevulde formulier ontvangt u van Menzis een bevestigingsbrief met het tarief dat de gecontracteerde huisartsen in uw huisartsenpraktijk met ingang van de eerste dag van het volgende kwartaal kunnen declareren.</t>
  </si>
  <si>
    <r>
      <t xml:space="preserve">Volg de stappen van het wijzigingsformulier hieronder en vul de </t>
    </r>
    <r>
      <rPr>
        <u val="single"/>
        <sz val="11"/>
        <color indexed="40"/>
        <rFont val="Arial"/>
        <family val="2"/>
      </rPr>
      <t>verplichte blauw gekleurde velden</t>
    </r>
    <r>
      <rPr>
        <sz val="11"/>
        <color indexed="30"/>
        <rFont val="Arial"/>
        <family val="2"/>
      </rPr>
      <t xml:space="preserve"> in.</t>
    </r>
  </si>
  <si>
    <t>Wanneer u dit wijzigingsformulier volledig heeft ingevuld en akkoord gaat met de inhoud van het wijzigingsformulier, dan gaat u ook akkoord met het hieronder weergegeven voor u geldende tarief en de inhoud van de POH-S module 2016 - 2018.</t>
  </si>
  <si>
    <t>U gaat dan akkoord met de inhoud van dit wijzigingsformulier, het doorsturen aan de verre zorgverzekeraar en de aanvulling op het Inkoopbeleid huisartsenzorg en multidisciplinaire zorg 2015-2016, Ingangsdatum 1 januari 2016, bijlage 12 POH-S module 2016 - 2018.</t>
  </si>
  <si>
    <t>Naar aanleiding van dit ingevulde formulier ontvangt u van Menzis een bevestigingsbrief met het tarief dat u met ingang van de eerste dag van het volgende kwartaal kan declareren.</t>
  </si>
  <si>
    <t>COPD (ja/nee)</t>
  </si>
  <si>
    <t xml:space="preserve">DM2 (ja/nee) </t>
  </si>
  <si>
    <t xml:space="preserve">Na volledig invullen van dit formulier kunt u de wijziging bij Menzis indienen via het contactformulier op de website van Menzis.  </t>
  </si>
  <si>
    <t>Wijziging formatie POH-S (afname)</t>
  </si>
  <si>
    <t xml:space="preserve">Indien de POH-S minder uren gaat werken dan contractueel is afgesproken, kunt u hier invullen hoeveel uur per week de POH-S minder gaat werken. </t>
  </si>
  <si>
    <t>Totaal afslag formatie (€)</t>
  </si>
  <si>
    <t xml:space="preserve">Afname in aantal fte </t>
  </si>
  <si>
    <t xml:space="preserve">Dan kunt u deze aanvraag bij Menzis indienen via het contactformulier op de website van Menzis.  </t>
  </si>
  <si>
    <t>De datum van verzenden bepaalt de ingangsdatum van de POH-S module. U kunt uiterlijk 4 weken voorafgaand aan de eerste dag van het volgend kwartaal de POH-S module aanvragen.</t>
  </si>
  <si>
    <t xml:space="preserve">Dit is het meest recente kwartaaltarief per verzekerde dat wij contratueel met u hebben afgesproken. 
Vult u dit formulier voor 1 januari 2016 in, vult u hier dan het aangeboden tarief 2016 in. U dient dan zowel de ondertekende brief als ook het wijzigingsformulier retour te zenden. </t>
  </si>
  <si>
    <t>Het aantal fte dat uw POH-S minder gaat werken. Formule: vermindering uren / 38 uur</t>
  </si>
  <si>
    <r>
      <t xml:space="preserve">Dit is het nieuwe tarief dat u elk kwartaal per ingeschreven verzekerde kunt declareren. Formule: huidige tarief - totale afslag (bij </t>
    </r>
    <r>
      <rPr>
        <sz val="10"/>
        <color indexed="30"/>
        <rFont val="Calibri"/>
        <family val="2"/>
      </rPr>
      <t xml:space="preserve">€ </t>
    </r>
    <r>
      <rPr>
        <sz val="10"/>
        <color indexed="30"/>
        <rFont val="Arial"/>
        <family val="2"/>
      </rPr>
      <t xml:space="preserve">0,00 wordt uw overeenkomst beeïndigd) </t>
    </r>
  </si>
  <si>
    <t>Dit betreft uw aangevraagde formatie (fte) POH-S: "Aanvraag aantal uren POH-S per week / 38 uur (werkweek)". U kunt maximaal de basisformatie POH-S van 0,14 fte per normpraktijk (2.168 patiënten) aanvragen.</t>
  </si>
  <si>
    <t>Voorlopige jaar tarief POH-S per verzekerde.</t>
  </si>
  <si>
    <t>Totaal opslag/toeslag POH-S (€)</t>
  </si>
  <si>
    <t>Vanaf het contractjaar 2016 stuurt Menzis de overeengekomen POH-S module 2016 - 2018 voor u door naar de verre zorgverzekeraar.</t>
  </si>
  <si>
    <t xml:space="preserve">Dit is het totale bedrag dat van het huidige kwartaaltarief wordt afgeslagen. </t>
  </si>
  <si>
    <t>Dit is uw totale afslag (€). Formule: afslag afname formatie POH-S + afslag keten-dbc's</t>
  </si>
  <si>
    <t>Totaal aantal ingeschreven patiënten binnen de praktijk</t>
  </si>
  <si>
    <t>Tabblad 4: Wijzigen bestaande formatie POH-S i.v.m. deelname integrale zorg voor kwetsbare ouderen</t>
  </si>
  <si>
    <t>Tarief POH-S module</t>
  </si>
  <si>
    <t>De praktijk</t>
  </si>
  <si>
    <t xml:space="preserve">De tariefafspraken 2015 zijn voor 2016 - 2018 verlengd met indexatie. U kunt op dit tabblad de wijzigingen aangeven wanneer uw POH-S formatie wijzigt en/of u start met een nieuwe keten-dbc DM2, COPD of VRM. </t>
  </si>
  <si>
    <t>VRM (ja/nee)</t>
  </si>
  <si>
    <t>Formule: aangevraagde uren POH-S/ 38 uur</t>
  </si>
  <si>
    <t>Deelname Integrale zorg voor kwetsbare ouderen</t>
  </si>
  <si>
    <t>U kunt hier aangeven of u in het eerst volgend kwartaal gaat deelnemen aan de voorbereidingsmodule of vervolgmodule integrale zorg voor kwetsbare ouderen. Klikt u dan "JA" aan.
Indien u gaat starten met de voorbereidingsmodule of de vervolgmodule Integrale zorg voor kwetsbare ouderen kunt u maximaal 0,14 fte POH-S per normpraktijk via de POH-S module aanvragen. Voor meer informatie verwijzen we u naar het inkoopbeleid bijlage 12 POH-S module 2016 - 2018, te vinden op de website van Menzis.</t>
  </si>
  <si>
    <t>Start u met de voorbereidingsmodule of de vervolgmodule 
Intergrale zorg voor kwetsbare ouderen (ja/nee)</t>
  </si>
  <si>
    <t>Deelname keten-dbc, eerst volgend kwartaal</t>
  </si>
  <si>
    <t>Tabblad 3: Wijzigen bestaande formatie POH-S i.v.m. start nieuwe keten-dbc</t>
  </si>
  <si>
    <t>Dit is het nieuwe tarief POH-S dat u elk kwartaal per ingeschreven verzekerde kunt declareren. Formule: voorlopige tarief - totale opslag (bij € 0,00 wordt uw overeenkomst beeïndigd)</t>
  </si>
  <si>
    <t>Voldoet u aan de voorwaarden zoals gesteld in bjlage 12 en 12A van het inkoopbeleid huisartsenzorg 2016? (ja/nee)</t>
  </si>
  <si>
    <r>
      <rPr>
        <b/>
        <u val="single"/>
        <sz val="10"/>
        <color indexed="30"/>
        <rFont val="Arial"/>
        <family val="2"/>
      </rPr>
      <t xml:space="preserve">Indien u voor het eerst gaat deelnemen </t>
    </r>
    <r>
      <rPr>
        <sz val="10"/>
        <color indexed="30"/>
        <rFont val="Arial"/>
        <family val="2"/>
      </rPr>
      <t>aan 1 of meerdere gecontracteerde keten-dbc's klikt u "JA" bij het betreffende nieuwe ketenzorgprogramma. Er geldt dan een afslag op het laatst overeengekomen tarief voor de POH-S module. De afslagen voor deelname aan ketenzorg staat beschreven in het inkoopbeleid bijlage 12 POH-S module 2016 - 2018, te vinden op de website van Menzis. De afslagen kort samengevat: DM2: € 0,85 per ingeschreven verzekerde, per kwartaal. COPD: € 0,29 per ingeschreven verzekerde, per kwartaal en VRM: € 0,57 per ingeschreven verzekerde, per kwartaal. De afslag wordt zichtbaar op het moment dat u bij het betreffende ketenzorgprogramma op "Ja" klikt.</t>
    </r>
  </si>
  <si>
    <t>Aanvraag aantal fte via POH-S module</t>
  </si>
  <si>
    <t>DM2 (ja/nee)</t>
  </si>
  <si>
    <t>Totaal afslag bij start nieuwe ketenzorg</t>
  </si>
  <si>
    <r>
      <t xml:space="preserve">U kunt hier de wijziging voor de POH-S module aangeven wanneer u voor het eerst gaat deelnemen aan de voorbereidingsmodule of vervolgmodule Integrale zorg voor kwetsbare ouderen. 
</t>
    </r>
    <r>
      <rPr>
        <b/>
        <sz val="10"/>
        <color indexed="30"/>
        <rFont val="Arial"/>
        <family val="2"/>
      </rPr>
      <t xml:space="preserve">Dit betreft </t>
    </r>
    <r>
      <rPr>
        <b/>
        <sz val="10"/>
        <color indexed="30"/>
        <rFont val="Arial"/>
        <family val="2"/>
      </rPr>
      <t>geen</t>
    </r>
    <r>
      <rPr>
        <b/>
        <sz val="10"/>
        <color indexed="30"/>
        <rFont val="Arial"/>
        <family val="2"/>
      </rPr>
      <t xml:space="preserve"> formatie aanvraag voor de POH-O! </t>
    </r>
    <r>
      <rPr>
        <sz val="10"/>
        <color indexed="30"/>
        <rFont val="Arial"/>
        <family val="2"/>
      </rPr>
      <t>Deze formatie kunt u aanvragen via het formele samenwerkingsverband met wie Menzis contractuele afspraken heeft gemaakt over organisatie en infrastructuur met betrekking tot integrale zorg voor kwetsbare ouderen.</t>
    </r>
  </si>
  <si>
    <t xml:space="preserve">Bij akkoord van Menzis ontvangt U uiterlijk binnen vier weken na uw ingediende aanvraag een bevestigingsbrief waarin de gemaakte afspraken worden bevestigd, waaronder het tarief van de overeengekomen POH-S Module en de ingangsdatum. </t>
  </si>
  <si>
    <t>Dit is het bedrag dat van het huidige kwartaaltarief wordt afgeslagen. 
Formule: fte (vermindering uren / 38 uur) x brutojaarinkomen (incl. indexatie) / 4 kwartalen / aantal ingeschreven verzekerden.</t>
  </si>
  <si>
    <r>
      <t xml:space="preserve">Volg de stappen van het wijzigingsformulier hieronder en vul de </t>
    </r>
    <r>
      <rPr>
        <u val="single"/>
        <sz val="11"/>
        <color indexed="40"/>
        <rFont val="Arial"/>
        <family val="2"/>
      </rPr>
      <t>verplichte blauw gekleurde velden</t>
    </r>
    <r>
      <rPr>
        <sz val="11"/>
        <color indexed="30"/>
        <rFont val="Arial"/>
        <family val="2"/>
      </rPr>
      <t xml:space="preserve"> in.</t>
    </r>
  </si>
  <si>
    <t>Dit is het nieuwe tarief dat u per jaar per ingeschreven verzekerde kunt declareren.</t>
  </si>
  <si>
    <t xml:space="preserve">Toegekende formatie ketenzorg  in 2016  binnen de POH-S module bovenop de basisformatie 
POH-S van maximaal 0,14 fte per normpraktijk.  De toegekende formatie is gebaseerd op de volgende fte per keten-dbc waarin u nog niet deelneemt:
o DM2:   maximaal 0,09 fte per normpraktijk;
o COPD:    maximaal 0,03 fte per normpraktijk;
o VRM:    maximaal 0,06 fte per normpraktijk
</t>
  </si>
  <si>
    <t>U gaat dan akkoord met de inhoud van dit aanvraagformulier, het doorsturen aan de verre zorgverzekeraar en de aanvulling op het Inkoopbeleid huisartsenzorg en multidisciplinaire zorg 2015-2016, Ingangsdatum 1 januari 2016, bijlage 12 POH-S module 2016 - 2018.</t>
  </si>
  <si>
    <t xml:space="preserve">U kunt hier aangeven aan welke keten-dbc's u al deelneemt of aan welke u in het eerst volgend kwartaal gaat deelnemen. 
</t>
  </si>
  <si>
    <t>U kunt aangeven hoeveel POH-S formatie u namens de huisartsenpraktijk wilt aanvragen.</t>
  </si>
  <si>
    <t xml:space="preserve">Dit is het nieuwe tarief dat u elk kwartaal per ingeschreven verzekerde kunt declareren. </t>
  </si>
  <si>
    <t>Nee</t>
  </si>
  <si>
    <t>Algemeen</t>
  </si>
  <si>
    <t>Overige gecontracteerde huisarts 1</t>
  </si>
  <si>
    <t>Overige gecontracteerde huisarts 2</t>
  </si>
  <si>
    <t>Overige gecontracteerde huisarts 3</t>
  </si>
  <si>
    <t>Overige gecontracteerde huisarts 4</t>
  </si>
  <si>
    <t>Overige gecontracteerde huisarts 5</t>
  </si>
  <si>
    <t>Overige gecontracteerde huisarts 6</t>
  </si>
  <si>
    <t>Overige gecontracteerde huisarts 7</t>
  </si>
  <si>
    <t>Overige gecontracteerde huisarts 8</t>
  </si>
  <si>
    <t>Overige gecontracteerde huisarts 9</t>
  </si>
  <si>
    <t>2Aanvraag start nieuwe POH-S</t>
  </si>
  <si>
    <t>3Wijzig POH-S (fte of ketendbc)</t>
  </si>
  <si>
    <t>4Wijzig POH-S start ouderenzorg</t>
  </si>
  <si>
    <t xml:space="preserve">E-mail adres. </t>
  </si>
  <si>
    <t>Formulier</t>
  </si>
  <si>
    <t>Voldoet u aan de voorwaarden zoals gesteld in bijlage 12 en 12A van het inkoopbeleid huisartsenzorg 2016? (ja/nee)</t>
  </si>
  <si>
    <t>Ja</t>
  </si>
  <si>
    <t>Versie 24-11-2015</t>
  </si>
  <si>
    <r>
      <rPr>
        <b/>
        <sz val="18"/>
        <color indexed="9"/>
        <rFont val="Arial"/>
        <family val="2"/>
      </rPr>
      <t>Wijzigen bestaande formatie POH-S Module 2016 - 2018</t>
    </r>
    <r>
      <rPr>
        <b/>
        <sz val="14"/>
        <color indexed="9"/>
        <rFont val="Arial"/>
        <family val="2"/>
      </rPr>
      <t xml:space="preserve">
i.v.m. deelname voorbereidings- of vervolgmodule integrale zorg voor kwetsbare ouderen (betreft geen formatie aanvraag voor de POH ouderenzorg)</t>
    </r>
  </si>
  <si>
    <r>
      <rPr>
        <b/>
        <sz val="18"/>
        <color indexed="9"/>
        <rFont val="Arial"/>
        <family val="2"/>
      </rPr>
      <t>Wijzigen bestaande formatie POH-S Module 2016 - 2018</t>
    </r>
    <r>
      <rPr>
        <b/>
        <sz val="14"/>
        <color indexed="9"/>
        <rFont val="Arial"/>
        <family val="2"/>
      </rPr>
      <t xml:space="preserve">
i.v.m. wijzigen formatie POH-S of start nieuwe keten-dbc </t>
    </r>
  </si>
  <si>
    <t>Aanvraag start nieuwe POH-S Module 2016 - 2018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</si>
</sst>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[$-413]dddd\ d\ mmmm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-413]d/mmm/yy;@"/>
    <numFmt numFmtId="179" formatCode="d\ mmmm\ yyyy"/>
    <numFmt numFmtId="180" formatCode="&quot;Waar&quot;;&quot;Waar&quot;;&quot;Onwaar&quot;"/>
    <numFmt numFmtId="181" formatCode="0.0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€&quot;\ #,##0.00"/>
    <numFmt numFmtId="192" formatCode="_ [$€-413]\ * #,##0.00_ ;_ [$€-413]\ * \-#,##0.00_ ;_ [$€-413]\ * &quot;-&quot;??_ ;_ @_ "/>
    <numFmt numFmtId="193" formatCode="[$€-413]\ #,##0.00;[$€-413]\ \-#,##0.00"/>
    <numFmt numFmtId="194" formatCode="#,##0.0"/>
  </numFmts>
  <fonts count="10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4"/>
      <name val="Arial"/>
      <family val="2"/>
    </font>
    <font>
      <sz val="11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40"/>
      <name val="Arial"/>
      <family val="2"/>
    </font>
    <font>
      <u val="single"/>
      <sz val="11"/>
      <color indexed="40"/>
      <name val="Arial"/>
      <family val="2"/>
    </font>
    <font>
      <u val="single"/>
      <sz val="10"/>
      <name val="Arial"/>
      <family val="2"/>
    </font>
    <font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9"/>
      <color indexed="30"/>
      <name val="Arial"/>
      <family val="2"/>
    </font>
    <font>
      <u val="single"/>
      <sz val="11"/>
      <color indexed="30"/>
      <name val="Arial"/>
      <family val="2"/>
    </font>
    <font>
      <b/>
      <sz val="14"/>
      <color indexed="25"/>
      <name val="Arial"/>
      <family val="2"/>
    </font>
    <font>
      <sz val="10"/>
      <color indexed="23"/>
      <name val="Arial"/>
      <family val="2"/>
    </font>
    <font>
      <sz val="10"/>
      <color indexed="30"/>
      <name val="TMix"/>
      <family val="0"/>
    </font>
    <font>
      <sz val="10"/>
      <color indexed="30"/>
      <name val="Courier New"/>
      <family val="3"/>
    </font>
    <font>
      <sz val="10"/>
      <color indexed="60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4"/>
      <color indexed="25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4"/>
      <color indexed="25"/>
      <name val="Calibri"/>
      <family val="0"/>
    </font>
    <font>
      <sz val="11"/>
      <color indexed="30"/>
      <name val="Calibri"/>
      <family val="0"/>
    </font>
    <font>
      <b/>
      <sz val="11"/>
      <color indexed="30"/>
      <name val="Calibri"/>
      <family val="0"/>
    </font>
    <font>
      <b/>
      <u val="single"/>
      <sz val="11"/>
      <color indexed="25"/>
      <name val="Calibri"/>
      <family val="0"/>
    </font>
    <font>
      <b/>
      <sz val="11"/>
      <color indexed="10"/>
      <name val="Calibri"/>
      <family val="0"/>
    </font>
    <font>
      <sz val="8"/>
      <color indexed="8"/>
      <name val="Calibri"/>
      <family val="0"/>
    </font>
    <font>
      <b/>
      <u val="single"/>
      <sz val="18"/>
      <color indexed="10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25"/>
      <name val="Calibri"/>
      <family val="0"/>
    </font>
    <font>
      <i/>
      <sz val="11"/>
      <color indexed="30"/>
      <name val="Calibri"/>
      <family val="0"/>
    </font>
    <font>
      <b/>
      <u val="single"/>
      <sz val="11"/>
      <color indexed="30"/>
      <name val="Calibri"/>
      <family val="0"/>
    </font>
    <font>
      <b/>
      <u val="single"/>
      <sz val="11"/>
      <color indexed="14"/>
      <name val="TMix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u val="single"/>
      <sz val="11"/>
      <color rgb="FF0070C0"/>
      <name val="Arial"/>
      <family val="2"/>
    </font>
    <font>
      <b/>
      <sz val="14"/>
      <color rgb="FFCC3399"/>
      <name val="Arial"/>
      <family val="2"/>
    </font>
    <font>
      <i/>
      <sz val="10"/>
      <color rgb="FF0070C0"/>
      <name val="Arial"/>
      <family val="2"/>
    </font>
    <font>
      <sz val="10"/>
      <color theme="0" tint="-0.4999699890613556"/>
      <name val="Arial"/>
      <family val="2"/>
    </font>
    <font>
      <sz val="10"/>
      <color rgb="FF0A57A4"/>
      <name val="TMix"/>
      <family val="0"/>
    </font>
    <font>
      <sz val="10"/>
      <color rgb="FF0A57A4"/>
      <name val="Courier New"/>
      <family val="3"/>
    </font>
    <font>
      <sz val="9"/>
      <color rgb="FF0A57A4"/>
      <name val="Arial"/>
      <family val="2"/>
    </font>
    <font>
      <sz val="10"/>
      <color rgb="FFC0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sz val="14"/>
      <color rgb="FFCC3399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57A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ck"/>
      <right>
        <color indexed="63"/>
      </right>
      <top style="dashed"/>
      <bottom style="dashed"/>
    </border>
    <border>
      <left style="thick"/>
      <right style="dashed"/>
      <top style="dashed"/>
      <bottom style="dashed"/>
    </border>
    <border>
      <left style="thick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ck"/>
      <top style="dashed"/>
      <bottom style="dashed"/>
    </border>
    <border>
      <left style="thick"/>
      <right>
        <color indexed="63"/>
      </right>
      <top>
        <color indexed="63"/>
      </top>
      <bottom style="dashed"/>
    </border>
    <border>
      <left style="dashed"/>
      <right style="thick"/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ashed"/>
      <top style="dotted"/>
      <bottom style="dotted"/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dashed"/>
      <right style="thick"/>
      <top style="dashed"/>
      <bottom style="dashed">
        <color theme="0"/>
      </bottom>
    </border>
    <border>
      <left style="dashed"/>
      <right style="thick"/>
      <top style="dashed">
        <color theme="0"/>
      </top>
      <bottom style="dashed">
        <color theme="0"/>
      </bottom>
    </border>
    <border>
      <left style="thick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ck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ck"/>
      <top style="dashed">
        <color theme="0"/>
      </top>
      <bottom style="thin"/>
    </border>
    <border>
      <left style="dashed"/>
      <right style="dashed">
        <color theme="0"/>
      </right>
      <top>
        <color indexed="63"/>
      </top>
      <bottom>
        <color indexed="63"/>
      </bottom>
    </border>
    <border>
      <left style="dashed">
        <color theme="0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dashed"/>
      <right style="thick"/>
      <top style="thin"/>
      <bottom style="dashed"/>
    </border>
    <border>
      <left style="dashed"/>
      <right>
        <color indexed="63"/>
      </right>
      <top style="dashed"/>
      <bottom style="dotted"/>
    </border>
    <border>
      <left>
        <color indexed="63"/>
      </left>
      <right style="thick"/>
      <top style="dash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dashed"/>
      <right style="dashed"/>
      <top>
        <color indexed="63"/>
      </top>
      <bottom style="dotted">
        <color indexed="22"/>
      </bottom>
    </border>
    <border>
      <left style="dashed"/>
      <right style="thick"/>
      <top>
        <color indexed="63"/>
      </top>
      <bottom style="dotted">
        <color indexed="22"/>
      </bottom>
    </border>
    <border>
      <left style="dashed"/>
      <right>
        <color indexed="63"/>
      </right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 style="thick"/>
      <right style="dashed"/>
      <top style="dashed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n"/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31" borderId="7" applyNumberFormat="0" applyFont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 vertical="top" wrapText="1"/>
      <protection/>
    </xf>
    <xf numFmtId="172" fontId="2" fillId="33" borderId="13" xfId="0" applyNumberFormat="1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right" vertical="top" wrapText="1"/>
      <protection/>
    </xf>
    <xf numFmtId="0" fontId="86" fillId="33" borderId="0" xfId="0" applyFont="1" applyFill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 vertical="top" wrapText="1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87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 vertical="top" wrapText="1"/>
      <protection/>
    </xf>
    <xf numFmtId="0" fontId="8" fillId="33" borderId="11" xfId="0" applyFont="1" applyFill="1" applyBorder="1" applyAlignment="1" applyProtection="1" quotePrefix="1">
      <alignment horizontal="left" vertical="top" wrapText="1"/>
      <protection/>
    </xf>
    <xf numFmtId="0" fontId="8" fillId="33" borderId="0" xfId="0" applyFont="1" applyFill="1" applyBorder="1" applyAlignment="1" applyProtection="1" quotePrefix="1">
      <alignment vertical="top" wrapText="1"/>
      <protection/>
    </xf>
    <xf numFmtId="0" fontId="8" fillId="33" borderId="0" xfId="0" applyFont="1" applyFill="1" applyBorder="1" applyAlignment="1" applyProtection="1" quotePrefix="1">
      <alignment vertical="top"/>
      <protection/>
    </xf>
    <xf numFmtId="0" fontId="9" fillId="33" borderId="0" xfId="44" applyFont="1" applyFill="1" applyBorder="1" applyAlignment="1" applyProtection="1" quotePrefix="1">
      <alignment horizontal="left" vertical="top" wrapText="1" indent="5"/>
      <protection/>
    </xf>
    <xf numFmtId="0" fontId="0" fillId="0" borderId="22" xfId="0" applyFont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5" fontId="0" fillId="34" borderId="0" xfId="0" applyNumberFormat="1" applyFont="1" applyFill="1" applyAlignment="1" applyProtection="1">
      <alignment/>
      <protection/>
    </xf>
    <xf numFmtId="0" fontId="88" fillId="35" borderId="0" xfId="44" applyFont="1" applyFill="1" applyBorder="1" applyAlignment="1" applyProtection="1" quotePrefix="1">
      <alignment horizontal="left" vertical="center" wrapText="1" indent="5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89" fillId="33" borderId="1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center"/>
      <protection/>
    </xf>
    <xf numFmtId="0" fontId="89" fillId="33" borderId="11" xfId="0" applyFont="1" applyFill="1" applyBorder="1" applyAlignment="1" applyProtection="1">
      <alignment/>
      <protection/>
    </xf>
    <xf numFmtId="0" fontId="92" fillId="33" borderId="0" xfId="0" applyFont="1" applyFill="1" applyBorder="1" applyAlignment="1" applyProtection="1" quotePrefix="1">
      <alignment horizontal="left"/>
      <protection/>
    </xf>
    <xf numFmtId="0" fontId="89" fillId="33" borderId="0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/>
      <protection/>
    </xf>
    <xf numFmtId="0" fontId="93" fillId="33" borderId="0" xfId="0" applyFont="1" applyFill="1" applyBorder="1" applyAlignment="1" applyProtection="1">
      <alignment horizontal="center"/>
      <protection/>
    </xf>
    <xf numFmtId="0" fontId="89" fillId="0" borderId="23" xfId="0" applyFont="1" applyBorder="1" applyAlignment="1" applyProtection="1">
      <alignment horizontal="left" wrapText="1" readingOrder="1"/>
      <protection/>
    </xf>
    <xf numFmtId="0" fontId="89" fillId="0" borderId="23" xfId="0" applyFont="1" applyBorder="1" applyAlignment="1" applyProtection="1" quotePrefix="1">
      <alignment horizontal="left" wrapText="1" readingOrder="1"/>
      <protection/>
    </xf>
    <xf numFmtId="0" fontId="89" fillId="0" borderId="21" xfId="0" applyFont="1" applyBorder="1" applyAlignment="1" applyProtection="1">
      <alignment horizontal="left" vertical="top" wrapText="1" readingOrder="1"/>
      <protection/>
    </xf>
    <xf numFmtId="0" fontId="89" fillId="0" borderId="23" xfId="0" applyFont="1" applyBorder="1" applyAlignment="1" applyProtection="1" quotePrefix="1">
      <alignment horizontal="left" readingOrder="1"/>
      <protection/>
    </xf>
    <xf numFmtId="0" fontId="89" fillId="0" borderId="21" xfId="0" applyFont="1" applyBorder="1" applyAlignment="1" applyProtection="1">
      <alignment/>
      <protection/>
    </xf>
    <xf numFmtId="0" fontId="94" fillId="33" borderId="20" xfId="0" applyFont="1" applyFill="1" applyBorder="1" applyAlignment="1" applyProtection="1">
      <alignment horizontal="right" vertical="top" wrapText="1"/>
      <protection/>
    </xf>
    <xf numFmtId="0" fontId="89" fillId="33" borderId="18" xfId="0" applyFont="1" applyFill="1" applyBorder="1" applyAlignment="1" applyProtection="1">
      <alignment/>
      <protection/>
    </xf>
    <xf numFmtId="0" fontId="89" fillId="33" borderId="19" xfId="0" applyFont="1" applyFill="1" applyBorder="1" applyAlignment="1" applyProtection="1">
      <alignment/>
      <protection/>
    </xf>
    <xf numFmtId="0" fontId="91" fillId="34" borderId="21" xfId="0" applyFont="1" applyFill="1" applyBorder="1" applyAlignment="1" applyProtection="1">
      <alignment vertical="center"/>
      <protection/>
    </xf>
    <xf numFmtId="0" fontId="89" fillId="34" borderId="24" xfId="0" applyFont="1" applyFill="1" applyBorder="1" applyAlignment="1" applyProtection="1">
      <alignment vertical="center" wrapText="1"/>
      <protection/>
    </xf>
    <xf numFmtId="0" fontId="89" fillId="34" borderId="18" xfId="0" applyFont="1" applyFill="1" applyBorder="1" applyAlignment="1" applyProtection="1">
      <alignment vertical="center" wrapText="1"/>
      <protection/>
    </xf>
    <xf numFmtId="0" fontId="89" fillId="34" borderId="19" xfId="0" applyFont="1" applyFill="1" applyBorder="1" applyAlignment="1" applyProtection="1">
      <alignment vertical="center" wrapText="1"/>
      <protection/>
    </xf>
    <xf numFmtId="0" fontId="93" fillId="34" borderId="24" xfId="0" applyFont="1" applyFill="1" applyBorder="1" applyAlignment="1" applyProtection="1">
      <alignment vertical="center" wrapText="1"/>
      <protection/>
    </xf>
    <xf numFmtId="0" fontId="89" fillId="0" borderId="21" xfId="0" applyFont="1" applyBorder="1" applyAlignment="1" applyProtection="1">
      <alignment vertical="center"/>
      <protection/>
    </xf>
    <xf numFmtId="0" fontId="89" fillId="0" borderId="23" xfId="0" applyFont="1" applyBorder="1" applyAlignment="1" applyProtection="1">
      <alignment horizontal="left" vertical="center" wrapText="1"/>
      <protection/>
    </xf>
    <xf numFmtId="0" fontId="89" fillId="33" borderId="0" xfId="0" applyFont="1" applyFill="1" applyAlignment="1" applyProtection="1">
      <alignment/>
      <protection/>
    </xf>
    <xf numFmtId="0" fontId="89" fillId="0" borderId="23" xfId="0" applyFont="1" applyFill="1" applyBorder="1" applyAlignment="1" applyProtection="1" quotePrefix="1">
      <alignment horizontal="left" vertical="center" wrapText="1"/>
      <protection/>
    </xf>
    <xf numFmtId="0" fontId="89" fillId="34" borderId="25" xfId="0" applyFont="1" applyFill="1" applyBorder="1" applyAlignment="1" applyProtection="1" quotePrefix="1">
      <alignment horizontal="left" vertical="center" wrapText="1"/>
      <protection/>
    </xf>
    <xf numFmtId="0" fontId="89" fillId="0" borderId="23" xfId="0" applyFont="1" applyFill="1" applyBorder="1" applyAlignment="1" applyProtection="1">
      <alignment horizontal="left" vertical="center" wrapText="1"/>
      <protection/>
    </xf>
    <xf numFmtId="191" fontId="89" fillId="0" borderId="23" xfId="0" applyNumberFormat="1" applyFont="1" applyBorder="1" applyAlignment="1" applyProtection="1">
      <alignment horizontal="center" vertical="center"/>
      <protection/>
    </xf>
    <xf numFmtId="0" fontId="89" fillId="0" borderId="25" xfId="0" applyFont="1" applyBorder="1" applyAlignment="1" applyProtection="1">
      <alignment horizontal="left" vertical="center" wrapText="1"/>
      <protection/>
    </xf>
    <xf numFmtId="172" fontId="89" fillId="0" borderId="23" xfId="0" applyNumberFormat="1" applyFont="1" applyBorder="1" applyAlignment="1" applyProtection="1">
      <alignment horizontal="center" vertical="center"/>
      <protection/>
    </xf>
    <xf numFmtId="0" fontId="89" fillId="0" borderId="25" xfId="0" applyFont="1" applyBorder="1" applyAlignment="1" applyProtection="1">
      <alignment horizontal="left" vertical="center"/>
      <protection/>
    </xf>
    <xf numFmtId="0" fontId="89" fillId="33" borderId="12" xfId="0" applyFont="1" applyFill="1" applyBorder="1" applyAlignment="1" applyProtection="1">
      <alignment/>
      <protection/>
    </xf>
    <xf numFmtId="0" fontId="89" fillId="33" borderId="13" xfId="0" applyFont="1" applyFill="1" applyBorder="1" applyAlignment="1" applyProtection="1">
      <alignment horizontal="left" vertical="top" wrapText="1"/>
      <protection/>
    </xf>
    <xf numFmtId="172" fontId="93" fillId="33" borderId="13" xfId="0" applyNumberFormat="1" applyFont="1" applyFill="1" applyBorder="1" applyAlignment="1" applyProtection="1">
      <alignment horizontal="center"/>
      <protection/>
    </xf>
    <xf numFmtId="0" fontId="89" fillId="33" borderId="14" xfId="0" applyFont="1" applyFill="1" applyBorder="1" applyAlignment="1" applyProtection="1">
      <alignment horizontal="left"/>
      <protection/>
    </xf>
    <xf numFmtId="0" fontId="91" fillId="34" borderId="10" xfId="0" applyFont="1" applyFill="1" applyBorder="1" applyAlignment="1" applyProtection="1">
      <alignment vertical="center"/>
      <protection/>
    </xf>
    <xf numFmtId="0" fontId="89" fillId="34" borderId="0" xfId="0" applyFont="1" applyFill="1" applyBorder="1" applyAlignment="1" applyProtection="1">
      <alignment vertical="center" wrapText="1"/>
      <protection/>
    </xf>
    <xf numFmtId="0" fontId="89" fillId="34" borderId="11" xfId="0" applyFont="1" applyFill="1" applyBorder="1" applyAlignment="1" applyProtection="1">
      <alignment vertical="center" wrapText="1"/>
      <protection/>
    </xf>
    <xf numFmtId="0" fontId="90" fillId="33" borderId="0" xfId="0" applyFont="1" applyFill="1" applyBorder="1" applyAlignment="1" applyProtection="1" quotePrefix="1">
      <alignment vertical="top"/>
      <protection/>
    </xf>
    <xf numFmtId="0" fontId="90" fillId="33" borderId="0" xfId="0" applyFont="1" applyFill="1" applyBorder="1" applyAlignment="1" applyProtection="1" quotePrefix="1">
      <alignment vertical="top" wrapText="1"/>
      <protection/>
    </xf>
    <xf numFmtId="0" fontId="90" fillId="33" borderId="11" xfId="0" applyFont="1" applyFill="1" applyBorder="1" applyAlignment="1" applyProtection="1" quotePrefix="1">
      <alignment horizontal="left" vertical="top" wrapText="1"/>
      <protection/>
    </xf>
    <xf numFmtId="0" fontId="90" fillId="33" borderId="0" xfId="0" applyFont="1" applyFill="1" applyBorder="1" applyAlignment="1" applyProtection="1" quotePrefix="1">
      <alignment horizontal="left" vertical="top" wrapText="1"/>
      <protection/>
    </xf>
    <xf numFmtId="0" fontId="95" fillId="33" borderId="0" xfId="44" applyFont="1" applyFill="1" applyBorder="1" applyAlignment="1" applyProtection="1" quotePrefix="1">
      <alignment horizontal="left" vertical="top" wrapText="1" indent="5"/>
      <protection/>
    </xf>
    <xf numFmtId="0" fontId="89" fillId="33" borderId="15" xfId="0" applyFont="1" applyFill="1" applyBorder="1" applyAlignment="1" applyProtection="1">
      <alignment/>
      <protection/>
    </xf>
    <xf numFmtId="0" fontId="90" fillId="33" borderId="16" xfId="0" applyFont="1" applyFill="1" applyBorder="1" applyAlignment="1" applyProtection="1">
      <alignment/>
      <protection/>
    </xf>
    <xf numFmtId="0" fontId="89" fillId="33" borderId="16" xfId="0" applyFont="1" applyFill="1" applyBorder="1" applyAlignment="1" applyProtection="1">
      <alignment/>
      <protection/>
    </xf>
    <xf numFmtId="0" fontId="89" fillId="33" borderId="17" xfId="0" applyFont="1" applyFill="1" applyBorder="1" applyAlignment="1" applyProtection="1">
      <alignment/>
      <protection/>
    </xf>
    <xf numFmtId="0" fontId="96" fillId="36" borderId="22" xfId="0" applyFont="1" applyFill="1" applyBorder="1" applyAlignment="1" applyProtection="1">
      <alignment wrapText="1" readingOrder="1"/>
      <protection/>
    </xf>
    <xf numFmtId="0" fontId="96" fillId="36" borderId="22" xfId="0" applyFont="1" applyFill="1" applyBorder="1" applyAlignment="1" applyProtection="1">
      <alignment horizontal="left" wrapText="1" readingOrder="1"/>
      <protection/>
    </xf>
    <xf numFmtId="0" fontId="96" fillId="36" borderId="21" xfId="0" applyFont="1" applyFill="1" applyBorder="1" applyAlignment="1" applyProtection="1">
      <alignment/>
      <protection/>
    </xf>
    <xf numFmtId="0" fontId="96" fillId="36" borderId="25" xfId="0" applyFont="1" applyFill="1" applyBorder="1" applyAlignment="1" applyProtection="1">
      <alignment/>
      <protection/>
    </xf>
    <xf numFmtId="0" fontId="89" fillId="0" borderId="25" xfId="0" applyFont="1" applyBorder="1" applyAlignment="1" applyProtection="1" quotePrefix="1">
      <alignment horizontal="left" vertical="center" wrapText="1"/>
      <protection/>
    </xf>
    <xf numFmtId="0" fontId="93" fillId="0" borderId="23" xfId="0" applyFont="1" applyBorder="1" applyAlignment="1" applyProtection="1">
      <alignment horizontal="left" vertical="center" wrapText="1"/>
      <protection/>
    </xf>
    <xf numFmtId="0" fontId="97" fillId="0" borderId="23" xfId="0" applyFont="1" applyBorder="1" applyAlignment="1" applyProtection="1">
      <alignment vertical="center"/>
      <protection/>
    </xf>
    <xf numFmtId="2" fontId="89" fillId="34" borderId="25" xfId="0" applyNumberFormat="1" applyFont="1" applyFill="1" applyBorder="1" applyAlignment="1" applyProtection="1">
      <alignment horizontal="left" vertical="center"/>
      <protection/>
    </xf>
    <xf numFmtId="172" fontId="89" fillId="0" borderId="23" xfId="0" applyNumberFormat="1" applyFont="1" applyFill="1" applyBorder="1" applyAlignment="1" applyProtection="1">
      <alignment horizontal="center" vertical="center"/>
      <protection/>
    </xf>
    <xf numFmtId="4" fontId="89" fillId="0" borderId="23" xfId="0" applyNumberFormat="1" applyFont="1" applyFill="1" applyBorder="1" applyAlignment="1" applyProtection="1">
      <alignment horizontal="center" vertical="center"/>
      <protection/>
    </xf>
    <xf numFmtId="0" fontId="89" fillId="0" borderId="23" xfId="0" applyFont="1" applyBorder="1" applyAlignment="1" applyProtection="1" quotePrefix="1">
      <alignment horizontal="left" vertical="center" wrapText="1"/>
      <protection/>
    </xf>
    <xf numFmtId="0" fontId="89" fillId="37" borderId="23" xfId="0" applyNumberFormat="1" applyFont="1" applyFill="1" applyBorder="1" applyAlignment="1" applyProtection="1">
      <alignment horizontal="center" vertical="center"/>
      <protection locked="0"/>
    </xf>
    <xf numFmtId="0" fontId="96" fillId="36" borderId="26" xfId="0" applyFont="1" applyFill="1" applyBorder="1" applyAlignment="1" applyProtection="1">
      <alignment wrapText="1" readingOrder="1"/>
      <protection/>
    </xf>
    <xf numFmtId="0" fontId="89" fillId="0" borderId="20" xfId="0" applyFont="1" applyBorder="1" applyAlignment="1" applyProtection="1">
      <alignment horizontal="left" vertical="top" wrapText="1" readingOrder="1"/>
      <protection/>
    </xf>
    <xf numFmtId="0" fontId="89" fillId="0" borderId="20" xfId="0" applyFont="1" applyBorder="1" applyAlignment="1" applyProtection="1">
      <alignment/>
      <protection/>
    </xf>
    <xf numFmtId="0" fontId="89" fillId="0" borderId="26" xfId="0" applyFont="1" applyBorder="1" applyAlignment="1" applyProtection="1">
      <alignment/>
      <protection/>
    </xf>
    <xf numFmtId="0" fontId="89" fillId="33" borderId="27" xfId="0" applyFont="1" applyFill="1" applyBorder="1" applyAlignment="1" applyProtection="1">
      <alignment/>
      <protection/>
    </xf>
    <xf numFmtId="0" fontId="89" fillId="34" borderId="25" xfId="0" applyFont="1" applyFill="1" applyBorder="1" applyAlignment="1" applyProtection="1">
      <alignment vertical="center" wrapText="1"/>
      <protection/>
    </xf>
    <xf numFmtId="0" fontId="89" fillId="0" borderId="23" xfId="0" applyFont="1" applyFill="1" applyBorder="1" applyAlignment="1" applyProtection="1">
      <alignment horizontal="left" wrapText="1" readingOrder="1"/>
      <protection/>
    </xf>
    <xf numFmtId="191" fontId="89" fillId="0" borderId="0" xfId="0" applyNumberFormat="1" applyFont="1" applyAlignment="1">
      <alignment horizontal="center" vertical="center"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92" fillId="34" borderId="0" xfId="0" applyFont="1" applyFill="1" applyBorder="1" applyAlignment="1" applyProtection="1" quotePrefix="1">
      <alignment horizontal="left"/>
      <protection/>
    </xf>
    <xf numFmtId="0" fontId="89" fillId="34" borderId="0" xfId="0" applyFont="1" applyFill="1" applyBorder="1" applyAlignment="1" applyProtection="1">
      <alignment horizontal="left"/>
      <protection/>
    </xf>
    <xf numFmtId="0" fontId="89" fillId="34" borderId="11" xfId="0" applyFont="1" applyFill="1" applyBorder="1" applyAlignment="1" applyProtection="1">
      <alignment/>
      <protection/>
    </xf>
    <xf numFmtId="4" fontId="89" fillId="34" borderId="25" xfId="0" applyNumberFormat="1" applyFont="1" applyFill="1" applyBorder="1" applyAlignment="1" applyProtection="1">
      <alignment vertical="center" wrapText="1"/>
      <protection/>
    </xf>
    <xf numFmtId="193" fontId="89" fillId="34" borderId="25" xfId="0" applyNumberFormat="1" applyFont="1" applyFill="1" applyBorder="1" applyAlignment="1" applyProtection="1">
      <alignment horizontal="left" vertical="center"/>
      <protection/>
    </xf>
    <xf numFmtId="0" fontId="89" fillId="0" borderId="28" xfId="0" applyFont="1" applyBorder="1" applyAlignment="1" applyProtection="1">
      <alignment horizontal="left" wrapText="1" readingOrder="1"/>
      <protection/>
    </xf>
    <xf numFmtId="0" fontId="89" fillId="0" borderId="18" xfId="0" applyFont="1" applyFill="1" applyBorder="1" applyAlignment="1" applyProtection="1">
      <alignment horizontal="left" wrapText="1" readingOrder="1"/>
      <protection/>
    </xf>
    <xf numFmtId="0" fontId="89" fillId="0" borderId="18" xfId="0" applyFont="1" applyBorder="1" applyAlignment="1" applyProtection="1">
      <alignment horizontal="left" wrapText="1" readingOrder="1"/>
      <protection/>
    </xf>
    <xf numFmtId="0" fontId="89" fillId="0" borderId="18" xfId="0" applyFont="1" applyBorder="1" applyAlignment="1" applyProtection="1" quotePrefix="1">
      <alignment horizontal="left" wrapText="1" readingOrder="1"/>
      <protection/>
    </xf>
    <xf numFmtId="0" fontId="89" fillId="0" borderId="28" xfId="0" applyFont="1" applyBorder="1" applyAlignment="1" applyProtection="1" quotePrefix="1">
      <alignment horizontal="left" readingOrder="1"/>
      <protection/>
    </xf>
    <xf numFmtId="0" fontId="89" fillId="0" borderId="29" xfId="0" applyFont="1" applyBorder="1" applyAlignment="1" applyProtection="1">
      <alignment horizontal="left" wrapText="1" readingOrder="1"/>
      <protection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89" fillId="38" borderId="21" xfId="0" applyFont="1" applyFill="1" applyBorder="1" applyAlignment="1" applyProtection="1">
      <alignment vertical="center"/>
      <protection/>
    </xf>
    <xf numFmtId="0" fontId="89" fillId="38" borderId="0" xfId="0" applyFont="1" applyFill="1" applyAlignment="1" applyProtection="1">
      <alignment/>
      <protection/>
    </xf>
    <xf numFmtId="0" fontId="86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2" fontId="89" fillId="34" borderId="25" xfId="0" applyNumberFormat="1" applyFont="1" applyFill="1" applyBorder="1" applyAlignment="1" applyProtection="1" quotePrefix="1">
      <alignment horizontal="left" vertical="center" wrapText="1"/>
      <protection/>
    </xf>
    <xf numFmtId="0" fontId="89" fillId="34" borderId="21" xfId="0" applyFont="1" applyFill="1" applyBorder="1" applyAlignment="1" applyProtection="1">
      <alignment vertical="center"/>
      <protection/>
    </xf>
    <xf numFmtId="0" fontId="89" fillId="34" borderId="0" xfId="0" applyFont="1" applyFill="1" applyAlignment="1" applyProtection="1">
      <alignment/>
      <protection/>
    </xf>
    <xf numFmtId="0" fontId="86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9" fillId="34" borderId="23" xfId="0" applyFont="1" applyFill="1" applyBorder="1" applyAlignment="1" applyProtection="1">
      <alignment horizontal="left" vertical="center" wrapText="1"/>
      <protection/>
    </xf>
    <xf numFmtId="2" fontId="89" fillId="0" borderId="18" xfId="0" applyNumberFormat="1" applyFont="1" applyBorder="1" applyAlignment="1" applyProtection="1">
      <alignment horizontal="center" vertical="center"/>
      <protection/>
    </xf>
    <xf numFmtId="0" fontId="98" fillId="38" borderId="23" xfId="0" applyFont="1" applyFill="1" applyBorder="1" applyAlignment="1" applyProtection="1">
      <alignment horizontal="left" vertical="center" wrapText="1"/>
      <protection/>
    </xf>
    <xf numFmtId="2" fontId="98" fillId="38" borderId="25" xfId="0" applyNumberFormat="1" applyFont="1" applyFill="1" applyBorder="1" applyAlignment="1" applyProtection="1">
      <alignment horizontal="left" vertical="center"/>
      <protection/>
    </xf>
    <xf numFmtId="0" fontId="98" fillId="38" borderId="21" xfId="0" applyFont="1" applyFill="1" applyBorder="1" applyAlignment="1" applyProtection="1">
      <alignment vertical="center"/>
      <protection/>
    </xf>
    <xf numFmtId="0" fontId="98" fillId="38" borderId="23" xfId="0" applyFont="1" applyFill="1" applyBorder="1" applyAlignment="1" applyProtection="1" quotePrefix="1">
      <alignment horizontal="left" vertical="center" wrapText="1"/>
      <protection/>
    </xf>
    <xf numFmtId="172" fontId="98" fillId="38" borderId="23" xfId="0" applyNumberFormat="1" applyFont="1" applyFill="1" applyBorder="1" applyAlignment="1" applyProtection="1">
      <alignment horizontal="center" vertical="center"/>
      <protection/>
    </xf>
    <xf numFmtId="0" fontId="98" fillId="38" borderId="25" xfId="0" applyFont="1" applyFill="1" applyBorder="1" applyAlignment="1" applyProtection="1" quotePrefix="1">
      <alignment horizontal="left" vertical="center" wrapText="1"/>
      <protection/>
    </xf>
    <xf numFmtId="0" fontId="98" fillId="38" borderId="25" xfId="0" applyFont="1" applyFill="1" applyBorder="1" applyAlignment="1" applyProtection="1">
      <alignment horizontal="left" vertical="center" wrapText="1"/>
      <protection/>
    </xf>
    <xf numFmtId="0" fontId="98" fillId="38" borderId="25" xfId="0" applyFont="1" applyFill="1" applyBorder="1" applyAlignment="1" applyProtection="1">
      <alignment horizontal="left" vertical="center"/>
      <protection/>
    </xf>
    <xf numFmtId="0" fontId="89" fillId="0" borderId="23" xfId="0" applyFont="1" applyBorder="1" applyAlignment="1" applyProtection="1">
      <alignment horizontal="left" vertical="center" wrapText="1" readingOrder="1"/>
      <protection/>
    </xf>
    <xf numFmtId="0" fontId="88" fillId="39" borderId="0" xfId="44" applyFont="1" applyFill="1" applyBorder="1" applyAlignment="1" applyProtection="1" quotePrefix="1">
      <alignment horizontal="left" vertical="center" wrapText="1" indent="5"/>
      <protection locked="0"/>
    </xf>
    <xf numFmtId="0" fontId="89" fillId="0" borderId="25" xfId="0" applyFont="1" applyFill="1" applyBorder="1" applyAlignment="1" applyProtection="1" quotePrefix="1">
      <alignment horizontal="left" vertical="center" wrapText="1"/>
      <protection/>
    </xf>
    <xf numFmtId="0" fontId="90" fillId="0" borderId="0" xfId="0" applyFont="1" applyFill="1" applyBorder="1" applyAlignment="1" applyProtection="1" quotePrefix="1">
      <alignment vertical="top"/>
      <protection/>
    </xf>
    <xf numFmtId="191" fontId="89" fillId="37" borderId="23" xfId="0" applyNumberFormat="1" applyFont="1" applyFill="1" applyBorder="1" applyAlignment="1" applyProtection="1">
      <alignment horizontal="center" vertical="center"/>
      <protection locked="0"/>
    </xf>
    <xf numFmtId="172" fontId="89" fillId="0" borderId="18" xfId="0" applyNumberFormat="1" applyFont="1" applyFill="1" applyBorder="1" applyAlignment="1" applyProtection="1">
      <alignment horizontal="center" vertical="center"/>
      <protection/>
    </xf>
    <xf numFmtId="0" fontId="93" fillId="34" borderId="23" xfId="0" applyFont="1" applyFill="1" applyBorder="1" applyAlignment="1" applyProtection="1">
      <alignment horizontal="left" vertical="center" wrapText="1"/>
      <protection/>
    </xf>
    <xf numFmtId="4" fontId="89" fillId="0" borderId="23" xfId="0" applyNumberFormat="1" applyFont="1" applyBorder="1" applyAlignment="1" applyProtection="1">
      <alignment horizontal="center" vertical="center"/>
      <protection/>
    </xf>
    <xf numFmtId="190" fontId="89" fillId="0" borderId="18" xfId="0" applyNumberFormat="1" applyFont="1" applyBorder="1" applyAlignment="1" applyProtection="1">
      <alignment horizontal="center" vertical="center"/>
      <protection/>
    </xf>
    <xf numFmtId="2" fontId="87" fillId="34" borderId="25" xfId="0" applyNumberFormat="1" applyFont="1" applyFill="1" applyBorder="1" applyAlignment="1" applyProtection="1" quotePrefix="1">
      <alignment horizontal="left" vertical="center" wrapText="1"/>
      <protection/>
    </xf>
    <xf numFmtId="190" fontId="87" fillId="34" borderId="25" xfId="0" applyNumberFormat="1" applyFont="1" applyFill="1" applyBorder="1" applyAlignment="1" applyProtection="1" quotePrefix="1">
      <alignment horizontal="left" vertical="center" wrapText="1"/>
      <protection/>
    </xf>
    <xf numFmtId="0" fontId="9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0" fillId="0" borderId="0" xfId="0" applyFont="1" applyAlignment="1" applyProtection="1">
      <alignment horizontal="left" vertical="center" indent="3"/>
      <protection/>
    </xf>
    <xf numFmtId="0" fontId="99" fillId="0" borderId="0" xfId="0" applyFont="1" applyAlignment="1" applyProtection="1">
      <alignment horizontal="left" vertical="center" indent="3"/>
      <protection/>
    </xf>
    <xf numFmtId="0" fontId="101" fillId="0" borderId="0" xfId="0" applyFont="1" applyAlignment="1" applyProtection="1">
      <alignment/>
      <protection/>
    </xf>
    <xf numFmtId="4" fontId="89" fillId="37" borderId="23" xfId="0" applyNumberFormat="1" applyFont="1" applyFill="1" applyBorder="1" applyAlignment="1" applyProtection="1">
      <alignment horizontal="center" vertical="center"/>
      <protection locked="0"/>
    </xf>
    <xf numFmtId="2" fontId="89" fillId="0" borderId="23" xfId="0" applyNumberFormat="1" applyFont="1" applyFill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/>
      <protection locked="0"/>
    </xf>
    <xf numFmtId="0" fontId="89" fillId="34" borderId="31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34" borderId="32" xfId="0" applyFill="1" applyBorder="1" applyAlignment="1" applyProtection="1">
      <alignment horizontal="left" vertical="center"/>
      <protection hidden="1"/>
    </xf>
    <xf numFmtId="0" fontId="0" fillId="34" borderId="31" xfId="0" applyNumberFormat="1" applyFont="1" applyFill="1" applyBorder="1" applyAlignment="1" applyProtection="1">
      <alignment horizontal="left" vertical="center" wrapText="1" readingOrder="1"/>
      <protection hidden="1"/>
    </xf>
    <xf numFmtId="0" fontId="89" fillId="37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7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89" fillId="34" borderId="11" xfId="0" applyNumberFormat="1" applyFont="1" applyFill="1" applyBorder="1" applyAlignment="1" applyProtection="1">
      <alignment vertical="center" wrapText="1" readingOrder="1"/>
      <protection hidden="1"/>
    </xf>
    <xf numFmtId="0" fontId="0" fillId="34" borderId="11" xfId="0" applyNumberFormat="1" applyFont="1" applyFill="1" applyBorder="1" applyAlignment="1" applyProtection="1">
      <alignment vertical="center" wrapText="1" readingOrder="1"/>
      <protection hidden="1"/>
    </xf>
    <xf numFmtId="0" fontId="0" fillId="34" borderId="11" xfId="0" applyFont="1" applyFill="1" applyBorder="1" applyAlignment="1" applyProtection="1">
      <alignment horizontal="left" vertical="center" readingOrder="1"/>
      <protection hidden="1"/>
    </xf>
    <xf numFmtId="0" fontId="0" fillId="34" borderId="11" xfId="0" applyFont="1" applyFill="1" applyBorder="1" applyAlignment="1" applyProtection="1">
      <alignment horizontal="left" vertical="center" readingOrder="1"/>
      <protection hidden="1"/>
    </xf>
    <xf numFmtId="0" fontId="0" fillId="37" borderId="23" xfId="0" applyFont="1" applyFill="1" applyBorder="1" applyAlignment="1" applyProtection="1">
      <alignment horizontal="left" vertical="center" wrapText="1" readingOrder="1"/>
      <protection locked="0"/>
    </xf>
    <xf numFmtId="0" fontId="0" fillId="0" borderId="23" xfId="0" applyFont="1" applyBorder="1" applyAlignment="1" applyProtection="1">
      <alignment horizontal="left" wrapText="1" readingOrder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6" fillId="33" borderId="0" xfId="0" applyFont="1" applyFill="1" applyAlignment="1" applyProtection="1">
      <alignment horizontal="left" vertical="center" wrapText="1"/>
      <protection/>
    </xf>
    <xf numFmtId="0" fontId="9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7" fillId="33" borderId="0" xfId="0" applyFont="1" applyFill="1" applyAlignment="1" applyProtection="1">
      <alignment horizontal="left" vertical="center" wrapText="1"/>
      <protection/>
    </xf>
    <xf numFmtId="0" fontId="89" fillId="0" borderId="23" xfId="0" applyNumberFormat="1" applyFont="1" applyBorder="1" applyAlignment="1" applyProtection="1">
      <alignment wrapText="1" readingOrder="1"/>
      <protection locked="0"/>
    </xf>
    <xf numFmtId="0" fontId="89" fillId="0" borderId="23" xfId="0" applyNumberFormat="1" applyFont="1" applyBorder="1" applyAlignment="1" applyProtection="1">
      <alignment horizontal="left" vertical="center" wrapText="1" readingOrder="1"/>
      <protection locked="0"/>
    </xf>
    <xf numFmtId="0" fontId="89" fillId="0" borderId="33" xfId="0" applyNumberFormat="1" applyFont="1" applyBorder="1" applyAlignment="1" applyProtection="1">
      <alignment wrapText="1" readingOrder="1"/>
      <protection hidden="1"/>
    </xf>
    <xf numFmtId="0" fontId="89" fillId="0" borderId="34" xfId="0" applyNumberFormat="1" applyFont="1" applyBorder="1" applyAlignment="1" applyProtection="1">
      <alignment wrapText="1" readingOrder="1"/>
      <protection hidden="1"/>
    </xf>
    <xf numFmtId="0" fontId="89" fillId="33" borderId="12" xfId="0" applyFont="1" applyFill="1" applyBorder="1" applyAlignment="1" applyProtection="1">
      <alignment horizontal="left" vertical="top" wrapText="1" readingOrder="1"/>
      <protection/>
    </xf>
    <xf numFmtId="0" fontId="89" fillId="0" borderId="35" xfId="0" applyFont="1" applyBorder="1" applyAlignment="1" applyProtection="1">
      <alignment horizontal="left" vertical="top" wrapText="1" readingOrder="1"/>
      <protection/>
    </xf>
    <xf numFmtId="0" fontId="89" fillId="0" borderId="36" xfId="0" applyFont="1" applyBorder="1" applyAlignment="1" applyProtection="1">
      <alignment horizontal="left" wrapText="1" readingOrder="1"/>
      <protection/>
    </xf>
    <xf numFmtId="0" fontId="89" fillId="0" borderId="37" xfId="0" applyFont="1" applyBorder="1" applyAlignment="1" applyProtection="1">
      <alignment/>
      <protection/>
    </xf>
    <xf numFmtId="0" fontId="89" fillId="0" borderId="38" xfId="0" applyFont="1" applyBorder="1" applyAlignment="1" applyProtection="1">
      <alignment horizontal="left" wrapText="1" readingOrder="1"/>
      <protection/>
    </xf>
    <xf numFmtId="0" fontId="89" fillId="0" borderId="38" xfId="0" applyNumberFormat="1" applyFont="1" applyBorder="1" applyAlignment="1" applyProtection="1">
      <alignment wrapText="1" readingOrder="1"/>
      <protection locked="0"/>
    </xf>
    <xf numFmtId="0" fontId="89" fillId="0" borderId="34" xfId="0" applyNumberFormat="1" applyFont="1" applyBorder="1" applyAlignment="1" applyProtection="1">
      <alignment horizontal="left" vertical="center" wrapText="1" readingOrder="1"/>
      <protection hidden="1"/>
    </xf>
    <xf numFmtId="0" fontId="89" fillId="0" borderId="39" xfId="0" applyNumberFormat="1" applyFont="1" applyBorder="1" applyAlignment="1" applyProtection="1">
      <alignment wrapText="1" readingOrder="1"/>
      <protection hidden="1"/>
    </xf>
    <xf numFmtId="0" fontId="102" fillId="33" borderId="11" xfId="0" applyFont="1" applyFill="1" applyBorder="1" applyAlignment="1" applyProtection="1">
      <alignment vertical="center"/>
      <protection hidden="1"/>
    </xf>
    <xf numFmtId="0" fontId="0" fillId="0" borderId="40" xfId="0" applyNumberFormat="1" applyFont="1" applyBorder="1" applyAlignment="1" applyProtection="1">
      <alignment wrapText="1" readingOrder="1"/>
      <protection hidden="1"/>
    </xf>
    <xf numFmtId="0" fontId="0" fillId="0" borderId="41" xfId="0" applyNumberFormat="1" applyFont="1" applyBorder="1" applyAlignment="1" applyProtection="1">
      <alignment wrapText="1" readingOrder="1"/>
      <protection hidden="1"/>
    </xf>
    <xf numFmtId="191" fontId="98" fillId="38" borderId="0" xfId="0" applyNumberFormat="1" applyFont="1" applyFill="1" applyAlignment="1" applyProtection="1">
      <alignment horizontal="center" vertical="center"/>
      <protection/>
    </xf>
    <xf numFmtId="0" fontId="0" fillId="0" borderId="42" xfId="0" applyFont="1" applyBorder="1" applyAlignment="1">
      <alignment horizontal="left" wrapText="1"/>
    </xf>
    <xf numFmtId="0" fontId="0" fillId="0" borderId="42" xfId="0" applyFont="1" applyBorder="1" applyAlignment="1" applyProtection="1">
      <alignment horizontal="left" wrapText="1" readingOrder="1"/>
      <protection/>
    </xf>
    <xf numFmtId="0" fontId="0" fillId="0" borderId="42" xfId="0" applyFont="1" applyFill="1" applyBorder="1" applyAlignment="1" applyProtection="1">
      <alignment horizontal="left" wrapText="1" readingOrder="1"/>
      <protection/>
    </xf>
    <xf numFmtId="0" fontId="0" fillId="0" borderId="42" xfId="0" applyFont="1" applyBorder="1" applyAlignment="1" applyProtection="1" quotePrefix="1">
      <alignment horizontal="left" wrapText="1" readingOrder="1"/>
      <protection/>
    </xf>
    <xf numFmtId="0" fontId="0" fillId="0" borderId="42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8" fontId="0" fillId="0" borderId="45" xfId="0" applyNumberFormat="1" applyFont="1" applyBorder="1" applyAlignment="1">
      <alignment/>
    </xf>
    <xf numFmtId="0" fontId="103" fillId="20" borderId="46" xfId="0" applyFont="1" applyFill="1" applyBorder="1" applyAlignment="1">
      <alignment horizontal="center" vertical="center"/>
    </xf>
    <xf numFmtId="0" fontId="103" fillId="20" borderId="47" xfId="0" applyFont="1" applyFill="1" applyBorder="1" applyAlignment="1">
      <alignment horizontal="center" vertical="center"/>
    </xf>
    <xf numFmtId="0" fontId="103" fillId="20" borderId="48" xfId="0" applyFont="1" applyFill="1" applyBorder="1" applyAlignment="1">
      <alignment horizontal="center" vertical="center"/>
    </xf>
    <xf numFmtId="0" fontId="4" fillId="0" borderId="49" xfId="44" applyBorder="1" applyAlignment="1" applyProtection="1">
      <alignment vertical="center"/>
      <protection locked="0"/>
    </xf>
    <xf numFmtId="0" fontId="4" fillId="0" borderId="50" xfId="44" applyBorder="1" applyAlignment="1" applyProtection="1">
      <alignment vertical="center"/>
      <protection locked="0"/>
    </xf>
    <xf numFmtId="0" fontId="4" fillId="0" borderId="51" xfId="44" applyBorder="1" applyAlignment="1" applyProtection="1">
      <alignment vertical="center"/>
      <protection locked="0"/>
    </xf>
    <xf numFmtId="0" fontId="4" fillId="0" borderId="49" xfId="44" applyBorder="1" applyAlignment="1" applyProtection="1">
      <alignment vertical="center"/>
      <protection/>
    </xf>
    <xf numFmtId="0" fontId="4" fillId="0" borderId="50" xfId="44" applyBorder="1" applyAlignment="1" applyProtection="1">
      <alignment vertical="center"/>
      <protection/>
    </xf>
    <xf numFmtId="0" fontId="4" fillId="0" borderId="51" xfId="44" applyBorder="1" applyAlignment="1" applyProtection="1">
      <alignment vertical="center"/>
      <protection/>
    </xf>
    <xf numFmtId="0" fontId="4" fillId="0" borderId="49" xfId="44" applyFill="1" applyBorder="1" applyAlignment="1" applyProtection="1">
      <alignment horizontal="left" vertical="center"/>
      <protection/>
    </xf>
    <xf numFmtId="0" fontId="4" fillId="0" borderId="50" xfId="44" applyFill="1" applyBorder="1" applyAlignment="1" applyProtection="1">
      <alignment horizontal="left" vertical="center"/>
      <protection/>
    </xf>
    <xf numFmtId="0" fontId="4" fillId="0" borderId="51" xfId="44" applyFill="1" applyBorder="1" applyAlignment="1" applyProtection="1">
      <alignment horizontal="left" vertical="center"/>
      <protection/>
    </xf>
    <xf numFmtId="0" fontId="89" fillId="0" borderId="20" xfId="0" applyFont="1" applyBorder="1" applyAlignment="1" applyProtection="1">
      <alignment vertical="center"/>
      <protection/>
    </xf>
    <xf numFmtId="0" fontId="89" fillId="0" borderId="18" xfId="0" applyFont="1" applyBorder="1" applyAlignment="1" applyProtection="1">
      <alignment vertical="center"/>
      <protection/>
    </xf>
    <xf numFmtId="0" fontId="89" fillId="0" borderId="19" xfId="0" applyFont="1" applyBorder="1" applyAlignment="1" applyProtection="1">
      <alignment vertical="center"/>
      <protection/>
    </xf>
    <xf numFmtId="0" fontId="89" fillId="34" borderId="24" xfId="0" applyFont="1" applyFill="1" applyBorder="1" applyAlignment="1" applyProtection="1">
      <alignment horizontal="left" vertical="center" wrapText="1"/>
      <protection/>
    </xf>
    <xf numFmtId="0" fontId="89" fillId="34" borderId="18" xfId="0" applyFont="1" applyFill="1" applyBorder="1" applyAlignment="1" applyProtection="1">
      <alignment horizontal="left" vertical="center" wrapText="1"/>
      <protection/>
    </xf>
    <xf numFmtId="0" fontId="89" fillId="34" borderId="19" xfId="0" applyFont="1" applyFill="1" applyBorder="1" applyAlignment="1" applyProtection="1">
      <alignment horizontal="left" vertical="center" wrapText="1"/>
      <protection/>
    </xf>
    <xf numFmtId="0" fontId="93" fillId="0" borderId="24" xfId="0" applyFont="1" applyBorder="1" applyAlignment="1" applyProtection="1">
      <alignment horizontal="left" vertical="center" wrapText="1"/>
      <protection/>
    </xf>
    <xf numFmtId="0" fontId="93" fillId="0" borderId="18" xfId="0" applyFont="1" applyBorder="1" applyAlignment="1" applyProtection="1">
      <alignment horizontal="left" vertical="center" wrapText="1"/>
      <protection/>
    </xf>
    <xf numFmtId="0" fontId="93" fillId="0" borderId="19" xfId="0" applyFont="1" applyBorder="1" applyAlignment="1" applyProtection="1">
      <alignment horizontal="left" vertical="center" wrapText="1"/>
      <protection/>
    </xf>
    <xf numFmtId="0" fontId="89" fillId="0" borderId="36" xfId="0" applyNumberFormat="1" applyFont="1" applyBorder="1" applyAlignment="1" applyProtection="1">
      <alignment wrapText="1" readingOrder="1"/>
      <protection locked="0"/>
    </xf>
    <xf numFmtId="0" fontId="89" fillId="0" borderId="52" xfId="0" applyNumberFormat="1" applyFont="1" applyBorder="1" applyAlignment="1" applyProtection="1">
      <alignment wrapText="1" readingOrder="1"/>
      <protection locked="0"/>
    </xf>
    <xf numFmtId="0" fontId="89" fillId="37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89" fillId="37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7" borderId="53" xfId="0" applyFont="1" applyFill="1" applyBorder="1" applyAlignment="1" applyProtection="1">
      <alignment horizontal="left" vertical="center"/>
      <protection locked="0"/>
    </xf>
    <xf numFmtId="0" fontId="0" fillId="37" borderId="54" xfId="0" applyFill="1" applyBorder="1" applyAlignment="1" applyProtection="1">
      <alignment horizontal="left" vertical="center"/>
      <protection locked="0"/>
    </xf>
    <xf numFmtId="0" fontId="0" fillId="37" borderId="55" xfId="0" applyFill="1" applyBorder="1" applyAlignment="1" applyProtection="1">
      <alignment horizontal="left" vertical="center"/>
      <protection locked="0"/>
    </xf>
    <xf numFmtId="0" fontId="0" fillId="37" borderId="56" xfId="0" applyFill="1" applyBorder="1" applyAlignment="1" applyProtection="1">
      <alignment horizontal="left" vertical="center"/>
      <protection locked="0"/>
    </xf>
    <xf numFmtId="0" fontId="0" fillId="37" borderId="55" xfId="0" applyFont="1" applyFill="1" applyBorder="1" applyAlignment="1" applyProtection="1">
      <alignment horizontal="left" vertical="center"/>
      <protection locked="0"/>
    </xf>
    <xf numFmtId="0" fontId="89" fillId="0" borderId="57" xfId="0" applyNumberFormat="1" applyFont="1" applyBorder="1" applyAlignment="1" applyProtection="1">
      <alignment wrapText="1" readingOrder="1"/>
      <protection hidden="1"/>
    </xf>
    <xf numFmtId="0" fontId="89" fillId="0" borderId="58" xfId="0" applyNumberFormat="1" applyFont="1" applyBorder="1" applyAlignment="1" applyProtection="1">
      <alignment wrapText="1" readingOrder="1"/>
      <protection hidden="1"/>
    </xf>
    <xf numFmtId="0" fontId="90" fillId="33" borderId="0" xfId="0" applyFont="1" applyFill="1" applyBorder="1" applyAlignment="1" applyProtection="1" quotePrefix="1">
      <alignment horizontal="left" vertical="top" wrapText="1"/>
      <protection/>
    </xf>
    <xf numFmtId="0" fontId="90" fillId="0" borderId="0" xfId="0" applyFont="1" applyAlignment="1" applyProtection="1">
      <alignment wrapText="1"/>
      <protection/>
    </xf>
    <xf numFmtId="0" fontId="90" fillId="0" borderId="11" xfId="0" applyFont="1" applyBorder="1" applyAlignment="1" applyProtection="1">
      <alignment wrapText="1"/>
      <protection/>
    </xf>
    <xf numFmtId="0" fontId="96" fillId="38" borderId="24" xfId="0" applyFont="1" applyFill="1" applyBorder="1" applyAlignment="1">
      <alignment horizontal="left" vertical="center"/>
    </xf>
    <xf numFmtId="0" fontId="96" fillId="38" borderId="18" xfId="0" applyFont="1" applyFill="1" applyBorder="1" applyAlignment="1">
      <alignment horizontal="left" vertical="center"/>
    </xf>
    <xf numFmtId="0" fontId="96" fillId="38" borderId="19" xfId="0" applyFont="1" applyFill="1" applyBorder="1" applyAlignment="1">
      <alignment horizontal="left" vertical="center"/>
    </xf>
    <xf numFmtId="0" fontId="96" fillId="38" borderId="59" xfId="0" applyFont="1" applyFill="1" applyBorder="1" applyAlignment="1">
      <alignment horizontal="left" vertical="center"/>
    </xf>
    <xf numFmtId="0" fontId="96" fillId="38" borderId="29" xfId="0" applyFont="1" applyFill="1" applyBorder="1" applyAlignment="1">
      <alignment horizontal="left" vertical="center"/>
    </xf>
    <xf numFmtId="0" fontId="89" fillId="34" borderId="24" xfId="0" applyFont="1" applyFill="1" applyBorder="1" applyAlignment="1" applyProtection="1">
      <alignment vertical="center" wrapText="1"/>
      <protection/>
    </xf>
    <xf numFmtId="0" fontId="89" fillId="34" borderId="18" xfId="0" applyFont="1" applyFill="1" applyBorder="1" applyAlignment="1" applyProtection="1">
      <alignment vertical="center" wrapText="1"/>
      <protection/>
    </xf>
    <xf numFmtId="0" fontId="89" fillId="34" borderId="19" xfId="0" applyFont="1" applyFill="1" applyBorder="1" applyAlignment="1" applyProtection="1">
      <alignment vertical="center" wrapText="1"/>
      <protection/>
    </xf>
    <xf numFmtId="0" fontId="90" fillId="0" borderId="0" xfId="0" applyFont="1" applyBorder="1" applyAlignment="1" applyProtection="1" quotePrefix="1">
      <alignment horizontal="left" wrapText="1" readingOrder="1"/>
      <protection/>
    </xf>
    <xf numFmtId="0" fontId="90" fillId="0" borderId="0" xfId="0" applyFont="1" applyBorder="1" applyAlignment="1" applyProtection="1">
      <alignment horizontal="left" wrapText="1" readingOrder="1"/>
      <protection/>
    </xf>
    <xf numFmtId="0" fontId="90" fillId="0" borderId="11" xfId="0" applyFont="1" applyBorder="1" applyAlignment="1" applyProtection="1">
      <alignment horizontal="left" wrapText="1" readingOrder="1"/>
      <protection/>
    </xf>
    <xf numFmtId="0" fontId="104" fillId="20" borderId="60" xfId="0" applyFont="1" applyFill="1" applyBorder="1" applyAlignment="1">
      <alignment horizontal="center" vertical="center"/>
    </xf>
    <xf numFmtId="0" fontId="104" fillId="20" borderId="61" xfId="0" applyFont="1" applyFill="1" applyBorder="1" applyAlignment="1">
      <alignment horizontal="center" vertical="center"/>
    </xf>
    <xf numFmtId="0" fontId="104" fillId="20" borderId="62" xfId="0" applyFont="1" applyFill="1" applyBorder="1" applyAlignment="1">
      <alignment horizontal="center" vertical="center"/>
    </xf>
    <xf numFmtId="0" fontId="96" fillId="38" borderId="63" xfId="0" applyFont="1" applyFill="1" applyBorder="1" applyAlignment="1">
      <alignment horizontal="left" vertical="center"/>
    </xf>
    <xf numFmtId="0" fontId="89" fillId="0" borderId="12" xfId="0" applyFont="1" applyBorder="1" applyAlignment="1" applyProtection="1">
      <alignment horizontal="left" vertical="top" wrapText="1" readingOrder="1"/>
      <protection/>
    </xf>
    <xf numFmtId="0" fontId="89" fillId="0" borderId="10" xfId="0" applyFont="1" applyBorder="1" applyAlignment="1" applyProtection="1">
      <alignment horizontal="left" vertical="top" wrapText="1" readingOrder="1"/>
      <protection/>
    </xf>
    <xf numFmtId="0" fontId="89" fillId="0" borderId="26" xfId="0" applyFont="1" applyBorder="1" applyAlignment="1" applyProtection="1">
      <alignment horizontal="left" vertical="top" wrapText="1" readingOrder="1"/>
      <protection/>
    </xf>
    <xf numFmtId="0" fontId="96" fillId="38" borderId="0" xfId="0" applyFont="1" applyFill="1" applyBorder="1" applyAlignment="1">
      <alignment horizontal="left" vertical="center"/>
    </xf>
    <xf numFmtId="0" fontId="96" fillId="38" borderId="11" xfId="0" applyFont="1" applyFill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5" fillId="20" borderId="60" xfId="0" applyFont="1" applyFill="1" applyBorder="1" applyAlignment="1" applyProtection="1" quotePrefix="1">
      <alignment horizontal="center" vertical="center" wrapText="1"/>
      <protection/>
    </xf>
    <xf numFmtId="0" fontId="87" fillId="20" borderId="61" xfId="0" applyFont="1" applyFill="1" applyBorder="1" applyAlignment="1" applyProtection="1">
      <alignment vertical="center"/>
      <protection/>
    </xf>
    <xf numFmtId="0" fontId="87" fillId="20" borderId="62" xfId="0" applyFont="1" applyFill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horizontal="left" vertical="top" wrapText="1" readingOrder="1"/>
      <protection/>
    </xf>
    <xf numFmtId="0" fontId="0" fillId="0" borderId="65" xfId="0" applyFont="1" applyBorder="1" applyAlignment="1" applyProtection="1">
      <alignment horizontal="left" vertical="top" wrapText="1" readingOrder="1"/>
      <protection/>
    </xf>
    <xf numFmtId="0" fontId="0" fillId="0" borderId="65" xfId="0" applyBorder="1" applyAlignment="1" applyProtection="1">
      <alignment horizontal="left" vertical="top" wrapText="1" readingOrder="1"/>
      <protection/>
    </xf>
    <xf numFmtId="0" fontId="0" fillId="0" borderId="26" xfId="0" applyBorder="1" applyAlignment="1" applyProtection="1">
      <alignment horizontal="left" vertical="top" wrapText="1" readingOrder="1"/>
      <protection/>
    </xf>
    <xf numFmtId="0" fontId="96" fillId="36" borderId="59" xfId="0" applyFont="1" applyFill="1" applyBorder="1" applyAlignment="1" applyProtection="1">
      <alignment wrapText="1" readingOrder="1"/>
      <protection/>
    </xf>
    <xf numFmtId="0" fontId="106" fillId="0" borderId="0" xfId="0" applyFont="1" applyBorder="1" applyAlignment="1" applyProtection="1">
      <alignment/>
      <protection/>
    </xf>
    <xf numFmtId="0" fontId="106" fillId="0" borderId="11" xfId="0" applyFont="1" applyBorder="1" applyAlignment="1" applyProtection="1">
      <alignment/>
      <protection/>
    </xf>
    <xf numFmtId="0" fontId="106" fillId="0" borderId="29" xfId="0" applyFont="1" applyBorder="1" applyAlignment="1" applyProtection="1">
      <alignment/>
      <protection/>
    </xf>
    <xf numFmtId="0" fontId="106" fillId="0" borderId="63" xfId="0" applyFont="1" applyBorder="1" applyAlignment="1" applyProtection="1">
      <alignment/>
      <protection/>
    </xf>
    <xf numFmtId="0" fontId="0" fillId="37" borderId="24" xfId="0" applyFont="1" applyFill="1" applyBorder="1" applyAlignment="1" applyProtection="1">
      <alignment horizontal="left" vertical="center" wrapText="1" readingOrder="1"/>
      <protection locked="0"/>
    </xf>
    <xf numFmtId="0" fontId="0" fillId="37" borderId="19" xfId="0" applyFont="1" applyFill="1" applyBorder="1" applyAlignment="1" applyProtection="1">
      <alignment horizontal="left" vertical="center" wrapText="1" readingOrder="1"/>
      <protection locked="0"/>
    </xf>
    <xf numFmtId="0" fontId="90" fillId="0" borderId="13" xfId="0" applyFont="1" applyBorder="1" applyAlignment="1" applyProtection="1" quotePrefix="1">
      <alignment horizontal="left" wrapText="1" readingOrder="1"/>
      <protection/>
    </xf>
    <xf numFmtId="0" fontId="90" fillId="0" borderId="13" xfId="0" applyFont="1" applyBorder="1" applyAlignment="1" applyProtection="1">
      <alignment horizontal="left" wrapText="1" readingOrder="1"/>
      <protection/>
    </xf>
    <xf numFmtId="0" fontId="90" fillId="0" borderId="14" xfId="0" applyFont="1" applyBorder="1" applyAlignment="1" applyProtection="1">
      <alignment horizontal="left" wrapText="1" readingOrder="1"/>
      <protection/>
    </xf>
    <xf numFmtId="0" fontId="4" fillId="37" borderId="23" xfId="44" applyFont="1" applyFill="1" applyBorder="1" applyAlignment="1" applyProtection="1">
      <alignment horizontal="left" vertical="center" wrapText="1" readingOrder="1"/>
      <protection locked="0"/>
    </xf>
    <xf numFmtId="0" fontId="0" fillId="34" borderId="25" xfId="0" applyFont="1" applyFill="1" applyBorder="1" applyAlignment="1" applyProtection="1">
      <alignment horizontal="left" vertical="center" wrapText="1" readingOrder="1"/>
      <protection locked="0"/>
    </xf>
    <xf numFmtId="0" fontId="96" fillId="36" borderId="24" xfId="0" applyFont="1" applyFill="1" applyBorder="1" applyAlignment="1" applyProtection="1">
      <alignment/>
      <protection/>
    </xf>
    <xf numFmtId="0" fontId="96" fillId="36" borderId="28" xfId="0" applyFont="1" applyFill="1" applyBorder="1" applyAlignment="1" applyProtection="1">
      <alignment/>
      <protection/>
    </xf>
    <xf numFmtId="0" fontId="107" fillId="38" borderId="24" xfId="0" applyFont="1" applyFill="1" applyBorder="1" applyAlignment="1" applyProtection="1">
      <alignment horizontal="left" vertical="center" wrapText="1"/>
      <protection/>
    </xf>
    <xf numFmtId="0" fontId="107" fillId="38" borderId="18" xfId="0" applyFont="1" applyFill="1" applyBorder="1" applyAlignment="1" applyProtection="1">
      <alignment horizontal="left" vertical="center" wrapText="1"/>
      <protection/>
    </xf>
    <xf numFmtId="0" fontId="107" fillId="38" borderId="19" xfId="0" applyFont="1" applyFill="1" applyBorder="1" applyAlignment="1" applyProtection="1">
      <alignment horizontal="left" vertical="center" wrapText="1"/>
      <protection/>
    </xf>
    <xf numFmtId="0" fontId="90" fillId="0" borderId="0" xfId="0" applyFont="1" applyAlignment="1" applyProtection="1">
      <alignment/>
      <protection/>
    </xf>
    <xf numFmtId="0" fontId="9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98" fillId="38" borderId="20" xfId="0" applyFont="1" applyFill="1" applyBorder="1" applyAlignment="1" applyProtection="1">
      <alignment vertical="center"/>
      <protection/>
    </xf>
    <xf numFmtId="0" fontId="98" fillId="38" borderId="18" xfId="0" applyFont="1" applyFill="1" applyBorder="1" applyAlignment="1" applyProtection="1">
      <alignment vertical="center"/>
      <protection/>
    </xf>
    <xf numFmtId="0" fontId="98" fillId="38" borderId="19" xfId="0" applyFont="1" applyFill="1" applyBorder="1" applyAlignment="1" applyProtection="1">
      <alignment vertical="center"/>
      <protection/>
    </xf>
    <xf numFmtId="0" fontId="93" fillId="34" borderId="24" xfId="0" applyFont="1" applyFill="1" applyBorder="1" applyAlignment="1" applyProtection="1">
      <alignment horizontal="left" vertical="center" wrapText="1"/>
      <protection/>
    </xf>
    <xf numFmtId="0" fontId="93" fillId="34" borderId="18" xfId="0" applyFont="1" applyFill="1" applyBorder="1" applyAlignment="1" applyProtection="1">
      <alignment horizontal="left" vertical="center" wrapText="1"/>
      <protection/>
    </xf>
    <xf numFmtId="0" fontId="93" fillId="34" borderId="19" xfId="0" applyFont="1" applyFill="1" applyBorder="1" applyAlignment="1" applyProtection="1">
      <alignment horizontal="left" vertical="center" wrapText="1"/>
      <protection/>
    </xf>
    <xf numFmtId="0" fontId="0" fillId="37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7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89" fillId="0" borderId="64" xfId="0" applyFont="1" applyBorder="1" applyAlignment="1" applyProtection="1">
      <alignment horizontal="left" vertical="top" wrapText="1" readingOrder="1"/>
      <protection/>
    </xf>
    <xf numFmtId="0" fontId="89" fillId="0" borderId="65" xfId="0" applyFont="1" applyBorder="1" applyAlignment="1" applyProtection="1">
      <alignment horizontal="left" vertical="top" wrapText="1" readingOrder="1"/>
      <protection/>
    </xf>
    <xf numFmtId="0" fontId="15" fillId="37" borderId="23" xfId="44" applyFont="1" applyFill="1" applyBorder="1" applyAlignment="1" applyProtection="1">
      <alignment horizontal="left" vertical="center" wrapText="1" readingOrder="1"/>
      <protection locked="0"/>
    </xf>
    <xf numFmtId="0" fontId="108" fillId="20" borderId="66" xfId="0" applyFont="1" applyFill="1" applyBorder="1" applyAlignment="1">
      <alignment horizontal="center" vertical="center"/>
    </xf>
    <xf numFmtId="0" fontId="108" fillId="20" borderId="67" xfId="0" applyFont="1" applyFill="1" applyBorder="1" applyAlignment="1">
      <alignment horizontal="center" vertical="center"/>
    </xf>
    <xf numFmtId="0" fontId="108" fillId="20" borderId="68" xfId="0" applyFont="1" applyFill="1" applyBorder="1" applyAlignment="1">
      <alignment horizontal="center" vertical="center"/>
    </xf>
    <xf numFmtId="0" fontId="108" fillId="20" borderId="69" xfId="0" applyFont="1" applyFill="1" applyBorder="1" applyAlignment="1">
      <alignment horizontal="center" vertical="center"/>
    </xf>
    <xf numFmtId="0" fontId="108" fillId="20" borderId="70" xfId="0" applyFont="1" applyFill="1" applyBorder="1" applyAlignment="1">
      <alignment horizontal="center" vertical="center"/>
    </xf>
    <xf numFmtId="0" fontId="108" fillId="20" borderId="71" xfId="0" applyFont="1" applyFill="1" applyBorder="1" applyAlignment="1">
      <alignment horizontal="center" vertical="center"/>
    </xf>
    <xf numFmtId="0" fontId="20" fillId="20" borderId="6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Aanvraag start nieuwe POH-S'!A1" /><Relationship Id="rId2" Type="http://schemas.openxmlformats.org/officeDocument/2006/relationships/hyperlink" Target="#'Wijzigen bestaande POH-S'!A1" /><Relationship Id="rId3" Type="http://schemas.openxmlformats.org/officeDocument/2006/relationships/hyperlink" Target="#'3Wijzig POH-S (fte of ketendbc)'!A1" /><Relationship Id="rId4" Type="http://schemas.openxmlformats.org/officeDocument/2006/relationships/hyperlink" Target="#'3Wijzig POH-S (fte of ketendbc)'!A1" /><Relationship Id="rId5" Type="http://schemas.openxmlformats.org/officeDocument/2006/relationships/hyperlink" Target="#'4Wijzig POH-S start ouderenzorg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enzis.nl/zorgaanbieders/-/m/publieke%20sites/menzis/zorgaanbieders/downloads/huisartsenzorg/contractering/bijlage%2012%20poh-s%20module%202016%20-2018%20versie%2024%20september%202015.pdf" TargetMode="Externa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nzis.nl/zorgaanbieders/-/m/publieke%20sites/menzis/zorgaanbieders/downloads/huisartsenzorg/contractering/bijlage%2012%20poh-s%20module%202016%20-2018%20versie%2024%20september%202015.pdf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nzis.nl/zorgaanbieders/-/m/publieke%20sites/menzis/zorgaanbieders/downloads/huisartsenzorg/contractering/bijlage%2012%20poh-s%20module%202016%20-2018%20versie%2024%20september%202015.pdf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28575</xdr:rowOff>
    </xdr:from>
    <xdr:to>
      <xdr:col>14</xdr:col>
      <xdr:colOff>0</xdr:colOff>
      <xdr:row>37</xdr:row>
      <xdr:rowOff>161925</xdr:rowOff>
    </xdr:to>
    <xdr:sp>
      <xdr:nvSpPr>
        <xdr:cNvPr id="1" name="Tekstvak 1">
          <a:hlinkClick r:id="rId1"/>
        </xdr:cNvPr>
        <xdr:cNvSpPr txBox="1">
          <a:spLocks noChangeArrowheads="1"/>
        </xdr:cNvSpPr>
      </xdr:nvSpPr>
      <xdr:spPr>
        <a:xfrm>
          <a:off x="266700" y="2200275"/>
          <a:ext cx="8267700" cy="418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Toelichting Aanvragen start nieuwe POH-S module</a:t>
          </a:r>
          <a:r>
            <a:rPr lang="en-US" cap="none" sz="1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Indien u nog geen POH-S module heeft gecontracteerd, dan kunt u met ingang van 1 januari 2016 maximaal de basisformatie POH-S van 0,14 fte per normpraktijk aanvragen. In de POH-S module wordt de directe en indirecte tijd van de POH-S vergoed.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Het laatst overeengekomen tarief POH-S wordt jaarlijks geïndexeerd gebaseerd op de cao huisartsenzorg.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Aanvragen POH-S module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U kunt uiterlijk 4 weken voorafgaand aan de eerste dag van het volgend kwartaal de POH-S module aanvragen via het aanvraag- en wijzigingsformulier POH-S 2016-2018.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Ga naar het Aanvraagformulier</a:t>
          </a: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start nieuwe POH-S</a:t>
          </a: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.</a:t>
          </a:r>
        </a:p>
      </xdr:txBody>
    </xdr:sp>
    <xdr:clientData/>
  </xdr:twoCellAnchor>
  <xdr:twoCellAnchor>
    <xdr:from>
      <xdr:col>0</xdr:col>
      <xdr:colOff>257175</xdr:colOff>
      <xdr:row>40</xdr:row>
      <xdr:rowOff>0</xdr:rowOff>
    </xdr:from>
    <xdr:to>
      <xdr:col>14</xdr:col>
      <xdr:colOff>9525</xdr:colOff>
      <xdr:row>125</xdr:row>
      <xdr:rowOff>0</xdr:rowOff>
    </xdr:to>
    <xdr:sp>
      <xdr:nvSpPr>
        <xdr:cNvPr id="2" name="Tekstvak 2">
          <a:hlinkClick r:id="rId2"/>
        </xdr:cNvPr>
        <xdr:cNvSpPr txBox="1">
          <a:spLocks noChangeArrowheads="1"/>
        </xdr:cNvSpPr>
      </xdr:nvSpPr>
      <xdr:spPr>
        <a:xfrm>
          <a:off x="257175" y="6705600"/>
          <a:ext cx="8286750" cy="13763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Toelichting Wijzigen</a:t>
          </a:r>
          <a:r>
            <a:rPr lang="en-US" cap="none" sz="1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b</a:t>
          </a:r>
          <a:r>
            <a:rPr lang="en-US" cap="none" sz="1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estaande</a:t>
          </a:r>
          <a:r>
            <a:rPr lang="en-US" cap="none" sz="1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POH-S module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Afhankelijk van wijzigingen in formatie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of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bij start van nieuwe keten-dbc’s in 2016 wordt het tarief aangepast. Zie hieronder de tariefsaanpassing bij wijzigingen gedurende de looptijd van de overeenkomst POH-S.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209550</xdr:colOff>
      <xdr:row>45</xdr:row>
      <xdr:rowOff>57150</xdr:rowOff>
    </xdr:from>
    <xdr:to>
      <xdr:col>12</xdr:col>
      <xdr:colOff>581025</xdr:colOff>
      <xdr:row>55</xdr:row>
      <xdr:rowOff>9525</xdr:rowOff>
    </xdr:to>
    <xdr:sp>
      <xdr:nvSpPr>
        <xdr:cNvPr id="3" name="Tekstvak 3">
          <a:hlinkClick r:id="rId3"/>
        </xdr:cNvPr>
        <xdr:cNvSpPr txBox="1">
          <a:spLocks noChangeArrowheads="1"/>
        </xdr:cNvSpPr>
      </xdr:nvSpPr>
      <xdr:spPr>
        <a:xfrm>
          <a:off x="819150" y="7572375"/>
          <a:ext cx="7077075" cy="15716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 Wijziging van formatie POH-S (fte)</a:t>
          </a:r>
          <a:r>
            <a:rPr lang="en-US" cap="none" sz="1100" b="0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Indien de POH-S in de loop van 2016, 2017 of 2018 voor minder uren wordt ingezet dan aanvankelijk overeengekomen, dient u deze wijziging 4 weken voorafgaand aan de eerste dag van het volgende kwartaal door te geven middels het aanvraag- en wijzigingsformulier POH-S 2016-2018. Het laatst overeengekomen tarief voor de POH-S module wordt met ingang van de eerste dag van het volgende kwartaal hierop aangepast.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Indien de POH-S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lager is dan 0,14 fte per normpraktijk (2.168 patiënten) dan kunt u in de toekomst indien gewenst de formatie tot maximaal 0,14 fte per normpraktijk aanvullen.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257175</xdr:colOff>
      <xdr:row>56</xdr:row>
      <xdr:rowOff>66675</xdr:rowOff>
    </xdr:from>
    <xdr:to>
      <xdr:col>12</xdr:col>
      <xdr:colOff>600075</xdr:colOff>
      <xdr:row>78</xdr:row>
      <xdr:rowOff>76200</xdr:rowOff>
    </xdr:to>
    <xdr:sp>
      <xdr:nvSpPr>
        <xdr:cNvPr id="4" name="Tekstvak 4">
          <a:hlinkClick r:id="rId4"/>
        </xdr:cNvPr>
        <xdr:cNvSpPr txBox="1">
          <a:spLocks noChangeArrowheads="1"/>
        </xdr:cNvSpPr>
      </xdr:nvSpPr>
      <xdr:spPr>
        <a:xfrm>
          <a:off x="866775" y="9363075"/>
          <a:ext cx="7048500" cy="35718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 Start nieuwe ketenzorg DM2, COPD of VRM</a:t>
          </a:r>
          <a:r>
            <a:rPr lang="en-US" cap="none" sz="1100" b="0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Als u in 2016 start met één of meerdere keten-dbc’s DM2, COPD of VRM, gecontracteerd via een met Menzis gecontracteerd samenwerkingsverband, dan gelden de volgende afslagen  op het laatst overeengekomen tarief voor de POH-S module, hetgeen inhoudt dat het laatst overeengekomen tarief wordt verminderd met: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 DM2:   €  0,85 per ingeschreven verzekerde, per kwartaal;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 COPD:    €  0,29 per ingeschreven verzekerde, per kwartaal;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 VRM:    € 0,57  per ingeschreven verzekerde, per kwartaal;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Indien de POH-S formatie na de afslag lager is dan 0,14 fte per normpraktijk (2.168 patiënten) dan kunt u indien gewenst de formatie tot maximaal 0,14 fte per normpraktijk aanvullen.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Wanneer u in 2016 start met een nieuwe keten-dbc DM2, COPD, VRM, dient u deze wijziging 4 weken voorafgaand aan de eerste dag van het volgende kwartaal waarop u start met de keten-dbc door te geven. Het laatst overeengekomen tarief voor de POH-S module wordt met ingang van de eerste dag van het volgende kwartaal hierop aangepast.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Let op wijziging 2017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Vanaf 1 januari 2017 worden deze afslagen standaard toegepast voor die keten-dbc’s waaraan u op 1 januari 2017 nog niet deelneemt. Menzis informeert u tijdig over het nieuw te declareren tarief.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7</xdr:col>
      <xdr:colOff>133350</xdr:colOff>
      <xdr:row>123</xdr:row>
      <xdr:rowOff>152400</xdr:rowOff>
    </xdr:from>
    <xdr:ext cx="180975" cy="266700"/>
    <xdr:sp fLocksText="0">
      <xdr:nvSpPr>
        <xdr:cNvPr id="5" name="Tekstvak 5"/>
        <xdr:cNvSpPr txBox="1">
          <a:spLocks noChangeArrowheads="1"/>
        </xdr:cNvSpPr>
      </xdr:nvSpPr>
      <xdr:spPr>
        <a:xfrm>
          <a:off x="4400550" y="2029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285750</xdr:colOff>
      <xdr:row>80</xdr:row>
      <xdr:rowOff>9525</xdr:rowOff>
    </xdr:from>
    <xdr:to>
      <xdr:col>13</xdr:col>
      <xdr:colOff>19050</xdr:colOff>
      <xdr:row>120</xdr:row>
      <xdr:rowOff>114300</xdr:rowOff>
    </xdr:to>
    <xdr:sp>
      <xdr:nvSpPr>
        <xdr:cNvPr id="6" name="Tekstvak 6">
          <a:hlinkClick r:id="rId5"/>
        </xdr:cNvPr>
        <xdr:cNvSpPr txBox="1">
          <a:spLocks noChangeArrowheads="1"/>
        </xdr:cNvSpPr>
      </xdr:nvSpPr>
      <xdr:spPr>
        <a:xfrm>
          <a:off x="895350" y="13192125"/>
          <a:ext cx="7048500" cy="6581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sng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 Start (voorbereidings)module Integrale zorg voor kwetsbare ouderen </a:t>
          </a:r>
          <a:r>
            <a:rPr lang="en-US" cap="none" sz="1100" b="0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Als u gaat deelnemen aan integrale zorg voor kwetsbare ouderen door middel van de voorbereidingsmodule of de module integrale zorg voor kwetsbare ouderen kunt u ook een basisformatie POH-S vanuit de POH-S module aanvragen. Deze basisformatie bedraagt maximaal 0,14 fte POH-S per normpraktijk (2.168 patiënten) bij deelname aan de keten-dbc’s DM2, COPD en VRM.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Het laatst overeengekomen tarief POH-S wordt jaarlijks geïndexeerd gebaseerd op de cao huisartsenzorg. 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POH-S module  basisformatie POH-S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Declaratiecode  Prestatie segment 3  Tarief*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31080  POH-S module    € 1,33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*  Tarief bij maximale inzet POH-S (0,14 fte per normpraktijk van 2.168 patiënten), per ingeschreven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verzekerde in de huisartsenpraktijk, per kwartaal.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Tijdelijk meer formatie POH-S bij </a:t>
          </a:r>
          <a:r>
            <a:rPr lang="en-US" cap="none" sz="11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niet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deelname keten-dbc’sDM2, COPD en/of VRM in 2016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Als u in 2016 gaat deelnemen aan integrale zorg voor kwetsbare ouderen en nog niet aan alle keten-dbc’s deelneemt, kunt u in 2016 naast deze modules tijdelijk meer formatie POH-S aanvragen in de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POH-S module. Hetgeen inhoudt dat u in 2016 binnen de POH-S module bovenop de basisformatie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POH-S van maximaal 0,14 fte per normpraktijk, de volgende fte per keten-dbc waarin u nog niet deelneemt, kan aanvragen: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DM2:   maximaal 0,09 fte per normpraktijk;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COPD:    maximaal 0,03 fte per normpraktijk;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VRM:    maximaal 0,06 fte per normpraktijk;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Wanneer u in de loop van 2016, 2017 of 2018 start met de voorbereidingsmodule of de module integrale zorg voor kwetsbare ouderen, dient u deze wijziging 4 weken voorafgaand aan de eerste dag van het volgende kwartaal waarop u start met de voorbereidingsmodule of vervolgmodule door te geven. Het laatst overeengekomen tarief voor de POH-S module wordt met ingang van de eerste dag van het volgende kwartaal hierop aangepast.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Let op wijziging 2017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Vanaf 1 januari 2017 vervallen de tijdelijke opslagen uit 2016 op de basisformatie POH-S en kunt u maximaal 0,14 fte POH-S per normpraktijk aanvragen. Menzis informeert u tijdig het nieuw te declareren tarief.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200025</xdr:colOff>
      <xdr:row>20</xdr:row>
      <xdr:rowOff>0</xdr:rowOff>
    </xdr:from>
    <xdr:to>
      <xdr:col>13</xdr:col>
      <xdr:colOff>38100</xdr:colOff>
      <xdr:row>30</xdr:row>
      <xdr:rowOff>114300</xdr:rowOff>
    </xdr:to>
    <xdr:sp>
      <xdr:nvSpPr>
        <xdr:cNvPr id="7" name="Tekstvak 7"/>
        <xdr:cNvSpPr txBox="1">
          <a:spLocks noChangeArrowheads="1"/>
        </xdr:cNvSpPr>
      </xdr:nvSpPr>
      <xdr:spPr>
        <a:xfrm>
          <a:off x="809625" y="3467100"/>
          <a:ext cx="7153275" cy="17335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POH-S module basisformatie POH-S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Declaratiecode  Prestatie segment 3  Tarief*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31080  POH-S module    € 1,33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*Tarief bij maximale inzet POH-S (0,14 fte per normpraktijk van 2.168 patiënten),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per ingeschreven verzekerde in de huisartsenpraktijk, per kwartaal.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4000500</xdr:colOff>
      <xdr:row>3</xdr:row>
      <xdr:rowOff>38100</xdr:rowOff>
    </xdr:from>
    <xdr:to>
      <xdr:col>4</xdr:col>
      <xdr:colOff>4333875</xdr:colOff>
      <xdr:row>5</xdr:row>
      <xdr:rowOff>9525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9334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4400550</xdr:colOff>
      <xdr:row>3</xdr:row>
      <xdr:rowOff>38100</xdr:rowOff>
    </xdr:from>
    <xdr:to>
      <xdr:col>4</xdr:col>
      <xdr:colOff>8201025</xdr:colOff>
      <xdr:row>6</xdr:row>
      <xdr:rowOff>0</xdr:rowOff>
    </xdr:to>
    <xdr:sp>
      <xdr:nvSpPr>
        <xdr:cNvPr id="2" name="Afgeronde rechthoek 3">
          <a:hlinkClick r:id="rId2"/>
        </xdr:cNvPr>
        <xdr:cNvSpPr>
          <a:spLocks/>
        </xdr:cNvSpPr>
      </xdr:nvSpPr>
      <xdr:spPr>
        <a:xfrm>
          <a:off x="11315700" y="933450"/>
          <a:ext cx="3790950" cy="523875"/>
        </a:xfrm>
        <a:prstGeom prst="roundRect">
          <a:avLst/>
        </a:prstGeom>
        <a:solidFill>
          <a:srgbClr val="DCE6F2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FF"/>
              </a:solidFill>
            </a:rPr>
            <a:t>Bekijk bijlage 12 POH-S</a:t>
          </a:r>
          <a:r>
            <a:rPr lang="en-US" cap="none" sz="1100" b="1" i="0" u="sng" baseline="0">
              <a:solidFill>
                <a:srgbClr val="FF00FF"/>
              </a:solidFill>
            </a:rPr>
            <a:t> module</a:t>
          </a:r>
        </a:p>
      </xdr:txBody>
    </xdr:sp>
    <xdr:clientData/>
  </xdr:twoCellAnchor>
  <xdr:twoCellAnchor editAs="oneCell">
    <xdr:from>
      <xdr:col>4</xdr:col>
      <xdr:colOff>8248650</xdr:colOff>
      <xdr:row>2</xdr:row>
      <xdr:rowOff>85725</xdr:rowOff>
    </xdr:from>
    <xdr:to>
      <xdr:col>4</xdr:col>
      <xdr:colOff>9782175</xdr:colOff>
      <xdr:row>7</xdr:row>
      <xdr:rowOff>38100</xdr:rowOff>
    </xdr:to>
    <xdr:pic macro="[0]!Form2"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63800" y="781050"/>
          <a:ext cx="1533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4629150</xdr:colOff>
      <xdr:row>3</xdr:row>
      <xdr:rowOff>19050</xdr:rowOff>
    </xdr:from>
    <xdr:to>
      <xdr:col>4</xdr:col>
      <xdr:colOff>8420100</xdr:colOff>
      <xdr:row>5</xdr:row>
      <xdr:rowOff>161925</xdr:rowOff>
    </xdr:to>
    <xdr:sp>
      <xdr:nvSpPr>
        <xdr:cNvPr id="1" name="Afgeronde rechthoek 2">
          <a:hlinkClick r:id="rId1"/>
        </xdr:cNvPr>
        <xdr:cNvSpPr>
          <a:spLocks/>
        </xdr:cNvSpPr>
      </xdr:nvSpPr>
      <xdr:spPr>
        <a:xfrm>
          <a:off x="10820400" y="1057275"/>
          <a:ext cx="3790950" cy="523875"/>
        </a:xfrm>
        <a:prstGeom prst="roundRect">
          <a:avLst/>
        </a:prstGeom>
        <a:solidFill>
          <a:srgbClr val="DCE6F2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FF"/>
              </a:solidFill>
            </a:rPr>
            <a:t>Bekijk bijlage 12 POH-S</a:t>
          </a:r>
          <a:r>
            <a:rPr lang="en-US" cap="none" sz="1100" b="1" i="0" u="sng" baseline="0">
              <a:solidFill>
                <a:srgbClr val="FF00FF"/>
              </a:solidFill>
            </a:rPr>
            <a:t> module</a:t>
          </a:r>
        </a:p>
      </xdr:txBody>
    </xdr:sp>
    <xdr:clientData/>
  </xdr:twoCellAnchor>
  <xdr:twoCellAnchor editAs="oneCell">
    <xdr:from>
      <xdr:col>4</xdr:col>
      <xdr:colOff>4171950</xdr:colOff>
      <xdr:row>3</xdr:row>
      <xdr:rowOff>76200</xdr:rowOff>
    </xdr:from>
    <xdr:to>
      <xdr:col>4</xdr:col>
      <xdr:colOff>4514850</xdr:colOff>
      <xdr:row>5</xdr:row>
      <xdr:rowOff>47625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11144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8734425</xdr:colOff>
      <xdr:row>2</xdr:row>
      <xdr:rowOff>95250</xdr:rowOff>
    </xdr:from>
    <xdr:to>
      <xdr:col>4</xdr:col>
      <xdr:colOff>10287000</xdr:colOff>
      <xdr:row>7</xdr:row>
      <xdr:rowOff>47625</xdr:rowOff>
    </xdr:to>
    <xdr:pic macro="[0]!Form3"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93345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4676775</xdr:colOff>
      <xdr:row>3</xdr:row>
      <xdr:rowOff>85725</xdr:rowOff>
    </xdr:from>
    <xdr:to>
      <xdr:col>4</xdr:col>
      <xdr:colOff>8467725</xdr:colOff>
      <xdr:row>6</xdr:row>
      <xdr:rowOff>47625</xdr:rowOff>
    </xdr:to>
    <xdr:sp>
      <xdr:nvSpPr>
        <xdr:cNvPr id="1" name="Afgeronde rechthoek 2">
          <a:hlinkClick r:id="rId1"/>
        </xdr:cNvPr>
        <xdr:cNvSpPr>
          <a:spLocks/>
        </xdr:cNvSpPr>
      </xdr:nvSpPr>
      <xdr:spPr>
        <a:xfrm>
          <a:off x="10868025" y="1247775"/>
          <a:ext cx="3790950" cy="523875"/>
        </a:xfrm>
        <a:prstGeom prst="roundRect">
          <a:avLst/>
        </a:prstGeom>
        <a:solidFill>
          <a:srgbClr val="DCE6F2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FF"/>
              </a:solidFill>
            </a:rPr>
            <a:t>Bekijk bijlage 12 POH-S</a:t>
          </a:r>
          <a:r>
            <a:rPr lang="en-US" cap="none" sz="1100" b="1" i="0" u="sng" baseline="0">
              <a:solidFill>
                <a:srgbClr val="FF00FF"/>
              </a:solidFill>
            </a:rPr>
            <a:t> module</a:t>
          </a:r>
        </a:p>
      </xdr:txBody>
    </xdr:sp>
    <xdr:clientData/>
  </xdr:twoCellAnchor>
  <xdr:twoCellAnchor editAs="oneCell">
    <xdr:from>
      <xdr:col>4</xdr:col>
      <xdr:colOff>4257675</xdr:colOff>
      <xdr:row>3</xdr:row>
      <xdr:rowOff>161925</xdr:rowOff>
    </xdr:from>
    <xdr:to>
      <xdr:col>4</xdr:col>
      <xdr:colOff>4600575</xdr:colOff>
      <xdr:row>5</xdr:row>
      <xdr:rowOff>133350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8763000</xdr:colOff>
      <xdr:row>2</xdr:row>
      <xdr:rowOff>9525</xdr:rowOff>
    </xdr:from>
    <xdr:to>
      <xdr:col>4</xdr:col>
      <xdr:colOff>10306050</xdr:colOff>
      <xdr:row>6</xdr:row>
      <xdr:rowOff>142875</xdr:rowOff>
    </xdr:to>
    <xdr:pic macro="[0]!Form4"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971550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nzis.nl/zorgaanbieders/contact/formulier/segment-1-en-3?type=overi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nzis.nl/zorgaanbieders/contact/formulier/segment-1-en-3?type=overi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nzis.nl/zorgaanbieders/contact/formulier/segment-1-en-3?type=overig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CC3399"/>
  </sheetPr>
  <dimension ref="B2:AI10"/>
  <sheetViews>
    <sheetView zoomScalePageLayoutView="0" workbookViewId="0" topLeftCell="A1">
      <selection activeCell="Q89" sqref="Q89"/>
    </sheetView>
  </sheetViews>
  <sheetFormatPr defaultColWidth="9.140625" defaultRowHeight="12.75"/>
  <cols>
    <col min="1" max="1" width="9.140625" style="119" customWidth="1"/>
    <col min="15" max="34" width="9.140625" style="119" customWidth="1"/>
  </cols>
  <sheetData>
    <row r="1" s="119" customFormat="1" ht="12.75"/>
    <row r="2" spans="2:35" ht="25.5" customHeight="1">
      <c r="B2" s="119"/>
      <c r="C2" s="202" t="s">
        <v>49</v>
      </c>
      <c r="D2" s="203"/>
      <c r="E2" s="203"/>
      <c r="F2" s="203"/>
      <c r="G2" s="203"/>
      <c r="H2" s="203"/>
      <c r="I2" s="203"/>
      <c r="J2" s="203"/>
      <c r="K2" s="203"/>
      <c r="L2" s="204"/>
      <c r="M2" s="119"/>
      <c r="N2" s="119"/>
      <c r="AI2" s="119"/>
    </row>
    <row r="3" spans="2:35" ht="12.75">
      <c r="B3" s="119"/>
      <c r="C3" s="205" t="s">
        <v>55</v>
      </c>
      <c r="D3" s="206"/>
      <c r="E3" s="206"/>
      <c r="F3" s="206"/>
      <c r="G3" s="206"/>
      <c r="H3" s="206"/>
      <c r="I3" s="206"/>
      <c r="J3" s="206"/>
      <c r="K3" s="206"/>
      <c r="L3" s="207"/>
      <c r="M3" s="119"/>
      <c r="N3" s="119"/>
      <c r="AI3" s="119"/>
    </row>
    <row r="4" spans="2:35" ht="12.75">
      <c r="B4" s="119"/>
      <c r="C4" s="205"/>
      <c r="D4" s="206"/>
      <c r="E4" s="206"/>
      <c r="F4" s="206"/>
      <c r="G4" s="206"/>
      <c r="H4" s="206"/>
      <c r="I4" s="206"/>
      <c r="J4" s="206"/>
      <c r="K4" s="206"/>
      <c r="L4" s="207"/>
      <c r="M4" s="119"/>
      <c r="N4" s="119"/>
      <c r="AI4" s="119"/>
    </row>
    <row r="5" spans="2:35" ht="12.75">
      <c r="B5" s="119"/>
      <c r="C5" s="208" t="s">
        <v>50</v>
      </c>
      <c r="D5" s="209"/>
      <c r="E5" s="209"/>
      <c r="F5" s="209"/>
      <c r="G5" s="209"/>
      <c r="H5" s="209"/>
      <c r="I5" s="209"/>
      <c r="J5" s="209"/>
      <c r="K5" s="209"/>
      <c r="L5" s="210"/>
      <c r="M5" s="119"/>
      <c r="N5" s="119"/>
      <c r="AI5" s="119"/>
    </row>
    <row r="6" spans="2:35" ht="12.75">
      <c r="B6" s="119"/>
      <c r="C6" s="208"/>
      <c r="D6" s="209"/>
      <c r="E6" s="209"/>
      <c r="F6" s="209"/>
      <c r="G6" s="209"/>
      <c r="H6" s="209"/>
      <c r="I6" s="209"/>
      <c r="J6" s="209"/>
      <c r="K6" s="209"/>
      <c r="L6" s="210"/>
      <c r="M6" s="119"/>
      <c r="N6" s="119"/>
      <c r="AI6" s="119"/>
    </row>
    <row r="7" spans="2:35" ht="12.75">
      <c r="B7" s="119"/>
      <c r="C7" s="211" t="s">
        <v>92</v>
      </c>
      <c r="D7" s="212"/>
      <c r="E7" s="212"/>
      <c r="F7" s="212"/>
      <c r="G7" s="212"/>
      <c r="H7" s="212"/>
      <c r="I7" s="212"/>
      <c r="J7" s="212"/>
      <c r="K7" s="212"/>
      <c r="L7" s="213"/>
      <c r="M7" s="119"/>
      <c r="N7" s="119"/>
      <c r="AI7" s="119"/>
    </row>
    <row r="8" spans="2:35" ht="18">
      <c r="B8" s="119"/>
      <c r="C8" s="211"/>
      <c r="D8" s="212"/>
      <c r="E8" s="212"/>
      <c r="F8" s="212"/>
      <c r="G8" s="212"/>
      <c r="H8" s="212"/>
      <c r="I8" s="212"/>
      <c r="J8" s="212"/>
      <c r="K8" s="212"/>
      <c r="L8" s="213"/>
      <c r="M8" s="120"/>
      <c r="N8" s="119"/>
      <c r="AI8" s="119"/>
    </row>
    <row r="9" spans="2:35" ht="12.75">
      <c r="B9" s="119"/>
      <c r="C9" s="211" t="s">
        <v>82</v>
      </c>
      <c r="D9" s="212"/>
      <c r="E9" s="212"/>
      <c r="F9" s="212"/>
      <c r="G9" s="212"/>
      <c r="H9" s="212"/>
      <c r="I9" s="212"/>
      <c r="J9" s="212"/>
      <c r="K9" s="212"/>
      <c r="L9" s="213"/>
      <c r="M9" s="119"/>
      <c r="N9" s="119"/>
      <c r="AI9" s="119"/>
    </row>
    <row r="10" spans="2:35" ht="12.75">
      <c r="B10" s="119"/>
      <c r="C10" s="211"/>
      <c r="D10" s="212"/>
      <c r="E10" s="212"/>
      <c r="F10" s="212"/>
      <c r="G10" s="212"/>
      <c r="H10" s="212"/>
      <c r="I10" s="212"/>
      <c r="J10" s="212"/>
      <c r="K10" s="212"/>
      <c r="L10" s="213"/>
      <c r="M10" s="119"/>
      <c r="N10" s="119"/>
      <c r="AI10" s="119"/>
    </row>
    <row r="11" s="119" customFormat="1" ht="12.75"/>
    <row r="12" s="119" customFormat="1" ht="12.75"/>
    <row r="39" s="119" customFormat="1" ht="12.75"/>
    <row r="40" s="119" customFormat="1" ht="12.75"/>
    <row r="125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</sheetData>
  <sheetProtection/>
  <mergeCells count="5">
    <mergeCell ref="C2:L2"/>
    <mergeCell ref="C3:L4"/>
    <mergeCell ref="C5:L6"/>
    <mergeCell ref="C7:L8"/>
    <mergeCell ref="C9:L10"/>
  </mergeCells>
  <hyperlinks>
    <hyperlink ref="C3:L4" location="'2Aanvraag start nieuwe POH-S'!A1" display="Tabblad 2: Aanvraag start nieuwe POH-S"/>
    <hyperlink ref="C5:L6" location="'3Wijzig POH-S (fte of ketendbc)'!A1" display="Tabblad 3: Wijzigen bestaande formatie POH-S"/>
    <hyperlink ref="C7:L8" location="'3Wijzig POH-S (fte of ketendbc)'!A1" display="Tabblad 3: Wijzigen bestaande formatie POH-S i.v.m. start nieuwe keten-dbc"/>
    <hyperlink ref="C9:L10" location="'4Wijzig POH-S start ouderenzorg'!A1" display="Tabblad 4: Wijzigen bestaande formatie POH-S i.v.m. deelname integrale zorg voor kwetsbare oudere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tabColor theme="3"/>
  </sheetPr>
  <dimension ref="B2:S144"/>
  <sheetViews>
    <sheetView tabSelected="1" zoomScale="92" zoomScaleNormal="92" zoomScalePageLayoutView="0" workbookViewId="0" topLeftCell="A60">
      <selection activeCell="D83" sqref="D83"/>
    </sheetView>
  </sheetViews>
  <sheetFormatPr defaultColWidth="9.140625" defaultRowHeight="12.75"/>
  <cols>
    <col min="1" max="1" width="1.28515625" style="1" customWidth="1"/>
    <col min="2" max="2" width="4.57421875" style="1" customWidth="1"/>
    <col min="3" max="3" width="66.57421875" style="1" customWidth="1"/>
    <col min="4" max="4" width="31.28125" style="1" customWidth="1"/>
    <col min="5" max="5" width="149.00390625" style="1" customWidth="1"/>
    <col min="6" max="6" width="9.140625" style="31" customWidth="1"/>
    <col min="7" max="7" width="9.7109375" style="31" bestFit="1" customWidth="1"/>
    <col min="8" max="19" width="9.140625" style="31" customWidth="1"/>
    <col min="20" max="16384" width="9.140625" style="1" customWidth="1"/>
  </cols>
  <sheetData>
    <row r="1" ht="13.5" thickBot="1"/>
    <row r="2" spans="2:5" ht="41.25" customHeight="1" thickTop="1">
      <c r="B2" s="248" t="s">
        <v>130</v>
      </c>
      <c r="C2" s="249"/>
      <c r="D2" s="249"/>
      <c r="E2" s="250"/>
    </row>
    <row r="3" spans="2:5" ht="15.75">
      <c r="B3" s="36"/>
      <c r="C3" s="32"/>
      <c r="D3" s="4"/>
      <c r="E3" s="37"/>
    </row>
    <row r="4" spans="2:5" ht="15.75">
      <c r="B4" s="38"/>
      <c r="C4" s="39" t="s">
        <v>11</v>
      </c>
      <c r="D4" s="40"/>
      <c r="E4" s="41"/>
    </row>
    <row r="5" spans="2:5" ht="14.25">
      <c r="B5" s="38"/>
      <c r="C5" s="42" t="s">
        <v>20</v>
      </c>
      <c r="D5" s="43"/>
      <c r="E5" s="41"/>
    </row>
    <row r="6" spans="2:5" ht="14.25">
      <c r="B6" s="38"/>
      <c r="C6" s="42" t="s">
        <v>44</v>
      </c>
      <c r="D6" s="43"/>
      <c r="E6" s="41"/>
    </row>
    <row r="7" spans="2:5" ht="14.25">
      <c r="B7" s="38"/>
      <c r="C7" s="42" t="s">
        <v>54</v>
      </c>
      <c r="D7" s="43"/>
      <c r="E7" s="41"/>
    </row>
    <row r="8" spans="2:5" ht="14.25">
      <c r="B8" s="38"/>
      <c r="C8" s="42" t="s">
        <v>21</v>
      </c>
      <c r="D8" s="43"/>
      <c r="E8" s="41"/>
    </row>
    <row r="9" spans="2:5" ht="14.25">
      <c r="B9" s="38"/>
      <c r="C9" s="44" t="s">
        <v>70</v>
      </c>
      <c r="D9" s="43"/>
      <c r="E9" s="41"/>
    </row>
    <row r="10" spans="2:5" ht="14.25">
      <c r="B10" s="38"/>
      <c r="C10" s="42" t="s">
        <v>100</v>
      </c>
      <c r="D10" s="43"/>
      <c r="E10" s="41"/>
    </row>
    <row r="11" spans="2:5" ht="14.25">
      <c r="B11" s="38"/>
      <c r="C11" s="108" t="s">
        <v>78</v>
      </c>
      <c r="D11" s="109"/>
      <c r="E11" s="110"/>
    </row>
    <row r="12" spans="2:5" ht="12.75">
      <c r="B12" s="2"/>
      <c r="C12" s="3"/>
      <c r="D12" s="6"/>
      <c r="E12" s="5"/>
    </row>
    <row r="13" spans="2:19" s="7" customFormat="1" ht="18">
      <c r="B13" s="98" t="s">
        <v>0</v>
      </c>
      <c r="C13" s="241" t="s">
        <v>29</v>
      </c>
      <c r="D13" s="241"/>
      <c r="E13" s="25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2:5" ht="12.75">
      <c r="B14" s="252"/>
      <c r="C14" s="113" t="s">
        <v>27</v>
      </c>
      <c r="D14" s="227"/>
      <c r="E14" s="228"/>
    </row>
    <row r="15" spans="2:5" ht="12.75">
      <c r="B15" s="253"/>
      <c r="C15" s="114" t="s">
        <v>9</v>
      </c>
      <c r="D15" s="159"/>
      <c r="E15" s="161"/>
    </row>
    <row r="16" spans="2:5" ht="12.75">
      <c r="B16" s="253"/>
      <c r="C16" s="115" t="s">
        <v>2</v>
      </c>
      <c r="D16" s="229"/>
      <c r="E16" s="230"/>
    </row>
    <row r="17" spans="2:5" ht="25.5">
      <c r="B17" s="254"/>
      <c r="C17" s="116" t="s">
        <v>53</v>
      </c>
      <c r="D17" s="231"/>
      <c r="E17" s="230"/>
    </row>
    <row r="18" spans="2:5" ht="12.75">
      <c r="B18" s="70"/>
      <c r="C18" s="45"/>
      <c r="D18" s="46"/>
      <c r="E18" s="41"/>
    </row>
    <row r="19" spans="2:19" s="7" customFormat="1" ht="19.5" customHeight="1">
      <c r="B19" s="98" t="s">
        <v>22</v>
      </c>
      <c r="C19" s="241" t="s">
        <v>51</v>
      </c>
      <c r="D19" s="255"/>
      <c r="E19" s="25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7" ht="12.75">
      <c r="B20" s="99"/>
      <c r="C20" s="113" t="s">
        <v>4</v>
      </c>
      <c r="D20" s="225"/>
      <c r="E20" s="226"/>
      <c r="G20" s="34"/>
    </row>
    <row r="21" spans="2:7" ht="12.75">
      <c r="B21" s="99"/>
      <c r="C21" s="113" t="s">
        <v>10</v>
      </c>
      <c r="D21" s="163"/>
      <c r="E21" s="160"/>
      <c r="G21" s="34"/>
    </row>
    <row r="22" spans="2:7" ht="12.75">
      <c r="B22" s="99"/>
      <c r="C22" s="117" t="s">
        <v>7</v>
      </c>
      <c r="D22" s="163"/>
      <c r="E22" s="160"/>
      <c r="G22" s="34"/>
    </row>
    <row r="23" spans="2:7" ht="12.75">
      <c r="B23" s="100"/>
      <c r="C23" s="113" t="s">
        <v>1</v>
      </c>
      <c r="D23" s="163"/>
      <c r="E23" s="160"/>
      <c r="G23" s="34"/>
    </row>
    <row r="24" spans="2:7" ht="12.75">
      <c r="B24" s="100"/>
      <c r="C24" s="113" t="s">
        <v>8</v>
      </c>
      <c r="D24" s="163"/>
      <c r="E24" s="160"/>
      <c r="G24" s="34"/>
    </row>
    <row r="25" spans="2:7" ht="12.75">
      <c r="B25" s="101"/>
      <c r="C25" s="118"/>
      <c r="D25" s="232"/>
      <c r="E25" s="233"/>
      <c r="G25" s="34"/>
    </row>
    <row r="26" spans="2:19" s="7" customFormat="1" ht="21.75" customHeight="1">
      <c r="B26" s="98" t="s">
        <v>23</v>
      </c>
      <c r="C26" s="255" t="s">
        <v>28</v>
      </c>
      <c r="D26" s="255"/>
      <c r="E26" s="25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7" ht="30.75" customHeight="1">
      <c r="B27" s="180"/>
      <c r="C27" s="245" t="s">
        <v>30</v>
      </c>
      <c r="D27" s="246"/>
      <c r="E27" s="247"/>
      <c r="G27" s="34"/>
    </row>
    <row r="28" spans="2:7" ht="12.75">
      <c r="B28" s="181">
        <v>1</v>
      </c>
      <c r="C28" s="182" t="s">
        <v>4</v>
      </c>
      <c r="D28" s="223"/>
      <c r="E28" s="224"/>
      <c r="G28" s="34"/>
    </row>
    <row r="29" spans="2:7" ht="12.75">
      <c r="B29" s="49"/>
      <c r="C29" s="47" t="s">
        <v>10</v>
      </c>
      <c r="D29" s="176"/>
      <c r="E29" s="178"/>
      <c r="G29" s="34"/>
    </row>
    <row r="30" spans="2:7" ht="12.75">
      <c r="B30" s="49"/>
      <c r="C30" s="50" t="s">
        <v>7</v>
      </c>
      <c r="D30" s="177"/>
      <c r="E30" s="186"/>
      <c r="G30" s="34"/>
    </row>
    <row r="31" spans="2:7" ht="12.75">
      <c r="B31" s="51"/>
      <c r="C31" s="47" t="s">
        <v>1</v>
      </c>
      <c r="D31" s="176"/>
      <c r="E31" s="179"/>
      <c r="G31" s="34"/>
    </row>
    <row r="32" spans="2:7" ht="12.75">
      <c r="B32" s="183"/>
      <c r="C32" s="184" t="s">
        <v>8</v>
      </c>
      <c r="D32" s="185"/>
      <c r="E32" s="187"/>
      <c r="G32" s="34"/>
    </row>
    <row r="33" spans="2:5" ht="12.75">
      <c r="B33" s="181">
        <v>2</v>
      </c>
      <c r="C33" s="182" t="s">
        <v>4</v>
      </c>
      <c r="D33" s="223"/>
      <c r="E33" s="224"/>
    </row>
    <row r="34" spans="2:5" ht="12.75">
      <c r="B34" s="49"/>
      <c r="C34" s="47" t="s">
        <v>10</v>
      </c>
      <c r="D34" s="176"/>
      <c r="E34" s="178"/>
    </row>
    <row r="35" spans="2:5" ht="12.75">
      <c r="B35" s="49"/>
      <c r="C35" s="50" t="s">
        <v>7</v>
      </c>
      <c r="D35" s="177"/>
      <c r="E35" s="186"/>
    </row>
    <row r="36" spans="2:5" ht="12.75">
      <c r="B36" s="51"/>
      <c r="C36" s="47" t="s">
        <v>1</v>
      </c>
      <c r="D36" s="176"/>
      <c r="E36" s="179"/>
    </row>
    <row r="37" spans="2:5" ht="12.75">
      <c r="B37" s="183"/>
      <c r="C37" s="184" t="s">
        <v>8</v>
      </c>
      <c r="D37" s="185"/>
      <c r="E37" s="187"/>
    </row>
    <row r="38" spans="2:5" ht="12.75">
      <c r="B38" s="181">
        <v>3</v>
      </c>
      <c r="C38" s="182" t="s">
        <v>4</v>
      </c>
      <c r="D38" s="223"/>
      <c r="E38" s="224"/>
    </row>
    <row r="39" spans="2:5" ht="12.75">
      <c r="B39" s="49"/>
      <c r="C39" s="47" t="s">
        <v>10</v>
      </c>
      <c r="D39" s="176"/>
      <c r="E39" s="178"/>
    </row>
    <row r="40" spans="2:5" ht="12.75">
      <c r="B40" s="49"/>
      <c r="C40" s="50" t="s">
        <v>7</v>
      </c>
      <c r="D40" s="177"/>
      <c r="E40" s="186"/>
    </row>
    <row r="41" spans="2:5" ht="12.75">
      <c r="B41" s="51"/>
      <c r="C41" s="47" t="s">
        <v>1</v>
      </c>
      <c r="D41" s="176"/>
      <c r="E41" s="179"/>
    </row>
    <row r="42" spans="2:5" ht="12.75">
      <c r="B42" s="183"/>
      <c r="C42" s="184" t="s">
        <v>8</v>
      </c>
      <c r="D42" s="185"/>
      <c r="E42" s="187"/>
    </row>
    <row r="43" spans="2:5" ht="12.75">
      <c r="B43" s="181">
        <v>4</v>
      </c>
      <c r="C43" s="182" t="s">
        <v>4</v>
      </c>
      <c r="D43" s="223"/>
      <c r="E43" s="224"/>
    </row>
    <row r="44" spans="2:5" ht="12.75">
      <c r="B44" s="49"/>
      <c r="C44" s="47" t="s">
        <v>10</v>
      </c>
      <c r="D44" s="176"/>
      <c r="E44" s="178"/>
    </row>
    <row r="45" spans="2:5" ht="12.75">
      <c r="B45" s="49"/>
      <c r="C45" s="50" t="s">
        <v>7</v>
      </c>
      <c r="D45" s="177"/>
      <c r="E45" s="186"/>
    </row>
    <row r="46" spans="2:5" ht="12.75">
      <c r="B46" s="51"/>
      <c r="C46" s="47" t="s">
        <v>1</v>
      </c>
      <c r="D46" s="176"/>
      <c r="E46" s="179"/>
    </row>
    <row r="47" spans="2:5" ht="12.75">
      <c r="B47" s="183"/>
      <c r="C47" s="184" t="s">
        <v>8</v>
      </c>
      <c r="D47" s="185"/>
      <c r="E47" s="187"/>
    </row>
    <row r="48" spans="2:5" ht="12.75">
      <c r="B48" s="181">
        <v>5</v>
      </c>
      <c r="C48" s="182" t="s">
        <v>4</v>
      </c>
      <c r="D48" s="223"/>
      <c r="E48" s="224"/>
    </row>
    <row r="49" spans="2:5" ht="12.75">
      <c r="B49" s="49"/>
      <c r="C49" s="47" t="s">
        <v>10</v>
      </c>
      <c r="D49" s="176"/>
      <c r="E49" s="178"/>
    </row>
    <row r="50" spans="2:5" ht="12.75">
      <c r="B50" s="49"/>
      <c r="C50" s="50" t="s">
        <v>7</v>
      </c>
      <c r="D50" s="177"/>
      <c r="E50" s="186"/>
    </row>
    <row r="51" spans="2:5" ht="12.75">
      <c r="B51" s="51"/>
      <c r="C51" s="47" t="s">
        <v>1</v>
      </c>
      <c r="D51" s="176"/>
      <c r="E51" s="179"/>
    </row>
    <row r="52" spans="2:5" ht="12.75">
      <c r="B52" s="183"/>
      <c r="C52" s="184" t="s">
        <v>8</v>
      </c>
      <c r="D52" s="185"/>
      <c r="E52" s="187"/>
    </row>
    <row r="53" spans="2:5" ht="12.75">
      <c r="B53" s="181">
        <v>6</v>
      </c>
      <c r="C53" s="182" t="s">
        <v>4</v>
      </c>
      <c r="D53" s="223"/>
      <c r="E53" s="224"/>
    </row>
    <row r="54" spans="2:5" ht="12.75">
      <c r="B54" s="49"/>
      <c r="C54" s="47" t="s">
        <v>10</v>
      </c>
      <c r="D54" s="176"/>
      <c r="E54" s="178"/>
    </row>
    <row r="55" spans="2:5" ht="12.75">
      <c r="B55" s="49"/>
      <c r="C55" s="50" t="s">
        <v>7</v>
      </c>
      <c r="D55" s="177"/>
      <c r="E55" s="186"/>
    </row>
    <row r="56" spans="2:5" ht="12.75">
      <c r="B56" s="51"/>
      <c r="C56" s="47" t="s">
        <v>1</v>
      </c>
      <c r="D56" s="176"/>
      <c r="E56" s="179"/>
    </row>
    <row r="57" spans="2:5" ht="12.75">
      <c r="B57" s="183"/>
      <c r="C57" s="184" t="s">
        <v>8</v>
      </c>
      <c r="D57" s="185"/>
      <c r="E57" s="187"/>
    </row>
    <row r="58" spans="2:5" ht="12.75">
      <c r="B58" s="181">
        <v>7</v>
      </c>
      <c r="C58" s="182" t="s">
        <v>4</v>
      </c>
      <c r="D58" s="223"/>
      <c r="E58" s="224"/>
    </row>
    <row r="59" spans="2:5" ht="12.75">
      <c r="B59" s="49"/>
      <c r="C59" s="47" t="s">
        <v>10</v>
      </c>
      <c r="D59" s="176"/>
      <c r="E59" s="178"/>
    </row>
    <row r="60" spans="2:5" ht="12.75">
      <c r="B60" s="49"/>
      <c r="C60" s="50" t="s">
        <v>7</v>
      </c>
      <c r="D60" s="177"/>
      <c r="E60" s="186"/>
    </row>
    <row r="61" spans="2:5" ht="12.75">
      <c r="B61" s="51"/>
      <c r="C61" s="47" t="s">
        <v>1</v>
      </c>
      <c r="D61" s="176"/>
      <c r="E61" s="179"/>
    </row>
    <row r="62" spans="2:5" ht="12.75">
      <c r="B62" s="183"/>
      <c r="C62" s="184" t="s">
        <v>8</v>
      </c>
      <c r="D62" s="185"/>
      <c r="E62" s="187"/>
    </row>
    <row r="63" spans="2:5" ht="12.75">
      <c r="B63" s="181">
        <v>8</v>
      </c>
      <c r="C63" s="182" t="s">
        <v>4</v>
      </c>
      <c r="D63" s="223"/>
      <c r="E63" s="224"/>
    </row>
    <row r="64" spans="2:5" ht="12.75">
      <c r="B64" s="49"/>
      <c r="C64" s="47" t="s">
        <v>10</v>
      </c>
      <c r="D64" s="176"/>
      <c r="E64" s="178"/>
    </row>
    <row r="65" spans="2:5" ht="12.75">
      <c r="B65" s="49"/>
      <c r="C65" s="50" t="s">
        <v>7</v>
      </c>
      <c r="D65" s="177"/>
      <c r="E65" s="186"/>
    </row>
    <row r="66" spans="2:5" ht="12.75">
      <c r="B66" s="51"/>
      <c r="C66" s="47" t="s">
        <v>1</v>
      </c>
      <c r="D66" s="176"/>
      <c r="E66" s="179"/>
    </row>
    <row r="67" spans="2:5" ht="12.75">
      <c r="B67" s="183"/>
      <c r="C67" s="184" t="s">
        <v>8</v>
      </c>
      <c r="D67" s="185"/>
      <c r="E67" s="187"/>
    </row>
    <row r="68" spans="2:5" ht="12.75">
      <c r="B68" s="181">
        <v>9</v>
      </c>
      <c r="C68" s="182" t="s">
        <v>4</v>
      </c>
      <c r="D68" s="223"/>
      <c r="E68" s="224"/>
    </row>
    <row r="69" spans="2:5" ht="12.75">
      <c r="B69" s="49"/>
      <c r="C69" s="47" t="s">
        <v>10</v>
      </c>
      <c r="D69" s="176"/>
      <c r="E69" s="178"/>
    </row>
    <row r="70" spans="2:5" ht="12.75">
      <c r="B70" s="49"/>
      <c r="C70" s="50" t="s">
        <v>7</v>
      </c>
      <c r="D70" s="177"/>
      <c r="E70" s="186"/>
    </row>
    <row r="71" spans="2:19" s="7" customFormat="1" ht="15">
      <c r="B71" s="51"/>
      <c r="C71" s="47" t="s">
        <v>1</v>
      </c>
      <c r="D71" s="176"/>
      <c r="E71" s="17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5" ht="15.75" customHeight="1">
      <c r="B72" s="183"/>
      <c r="C72" s="184" t="s">
        <v>8</v>
      </c>
      <c r="D72" s="185"/>
      <c r="E72" s="187"/>
    </row>
    <row r="73" spans="2:5" ht="12.75">
      <c r="B73" s="52"/>
      <c r="C73" s="53"/>
      <c r="D73" s="53"/>
      <c r="E73" s="54"/>
    </row>
    <row r="74" spans="2:5" ht="12.75">
      <c r="B74" s="52"/>
      <c r="C74" s="53"/>
      <c r="D74" s="53"/>
      <c r="E74" s="54"/>
    </row>
    <row r="75" spans="2:19" s="7" customFormat="1" ht="18">
      <c r="B75" s="86" t="s">
        <v>42</v>
      </c>
      <c r="C75" s="237" t="s">
        <v>31</v>
      </c>
      <c r="D75" s="238"/>
      <c r="E75" s="23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5" ht="25.5">
      <c r="B76" s="52"/>
      <c r="C76" s="140" t="s">
        <v>94</v>
      </c>
      <c r="D76" s="97" t="s">
        <v>126</v>
      </c>
      <c r="E76" s="188" t="str">
        <f>IF(D76="NEE","U voldoet niet aan de voorwaarden. Het afsluiten van de POH-S module is niet mogelijk."," ")</f>
        <v> </v>
      </c>
    </row>
    <row r="77" spans="2:5" ht="12.75">
      <c r="B77" s="214"/>
      <c r="C77" s="215"/>
      <c r="D77" s="215"/>
      <c r="E77" s="216"/>
    </row>
    <row r="78" spans="2:5" ht="18">
      <c r="B78" s="88" t="s">
        <v>41</v>
      </c>
      <c r="C78" s="240" t="s">
        <v>34</v>
      </c>
      <c r="D78" s="241"/>
      <c r="E78" s="89" t="s">
        <v>3</v>
      </c>
    </row>
    <row r="79" spans="2:5" ht="15.75">
      <c r="B79" s="55"/>
      <c r="C79" s="242" t="s">
        <v>32</v>
      </c>
      <c r="D79" s="243"/>
      <c r="E79" s="244"/>
    </row>
    <row r="80" spans="2:5" ht="15.75">
      <c r="B80" s="55"/>
      <c r="C80" s="56"/>
      <c r="D80" s="57"/>
      <c r="E80" s="58"/>
    </row>
    <row r="81" spans="2:5" ht="15.75">
      <c r="B81" s="55"/>
      <c r="C81" s="59" t="s">
        <v>35</v>
      </c>
      <c r="D81" s="57"/>
      <c r="E81" s="58"/>
    </row>
    <row r="82" spans="2:5" ht="12.75">
      <c r="B82" s="60"/>
      <c r="C82" s="61" t="s">
        <v>33</v>
      </c>
      <c r="D82" s="97">
        <v>0</v>
      </c>
      <c r="E82" s="41" t="s">
        <v>107</v>
      </c>
    </row>
    <row r="83" spans="2:5" ht="12.75">
      <c r="B83" s="60"/>
      <c r="C83" s="61" t="s">
        <v>46</v>
      </c>
      <c r="D83" s="97">
        <v>2168</v>
      </c>
      <c r="E83" s="103"/>
    </row>
    <row r="84" spans="2:5" ht="12.75">
      <c r="B84" s="214" t="s">
        <v>13</v>
      </c>
      <c r="C84" s="215"/>
      <c r="D84" s="215"/>
      <c r="E84" s="216"/>
    </row>
    <row r="85" spans="2:5" ht="12.75">
      <c r="B85" s="60"/>
      <c r="C85" s="220" t="s">
        <v>34</v>
      </c>
      <c r="D85" s="221"/>
      <c r="E85" s="222"/>
    </row>
    <row r="86" spans="2:5" ht="25.5">
      <c r="B86" s="60"/>
      <c r="C86" s="63" t="s">
        <v>26</v>
      </c>
      <c r="D86" s="147">
        <f>(D82/38)</f>
        <v>0</v>
      </c>
      <c r="E86" s="64" t="s">
        <v>75</v>
      </c>
    </row>
    <row r="87" spans="2:5" ht="12.75">
      <c r="B87" s="60"/>
      <c r="C87" s="65" t="s">
        <v>25</v>
      </c>
      <c r="D87" s="66">
        <f>IF((D82/38)*(80821.25*1.02)/D83&gt;5.32,5.32,(D82/38)*(80821.25*1.02)/D83)</f>
        <v>0</v>
      </c>
      <c r="E87" s="67" t="s">
        <v>103</v>
      </c>
    </row>
    <row r="88" spans="2:5" ht="12.75">
      <c r="B88" s="60"/>
      <c r="C88" s="65" t="s">
        <v>40</v>
      </c>
      <c r="D88" s="68">
        <f>D87/4</f>
        <v>0</v>
      </c>
      <c r="E88" s="69" t="s">
        <v>37</v>
      </c>
    </row>
    <row r="89" spans="2:5" ht="12.75">
      <c r="B89" s="70"/>
      <c r="C89" s="71"/>
      <c r="D89" s="72"/>
      <c r="E89" s="73"/>
    </row>
    <row r="90" spans="2:5" ht="12.75">
      <c r="B90" s="60"/>
      <c r="C90" s="220" t="s">
        <v>36</v>
      </c>
      <c r="D90" s="221"/>
      <c r="E90" s="58"/>
    </row>
    <row r="91" spans="2:5" ht="15.75">
      <c r="B91" s="55"/>
      <c r="C91" s="217" t="s">
        <v>71</v>
      </c>
      <c r="D91" s="218"/>
      <c r="E91" s="219"/>
    </row>
    <row r="92" spans="2:5" ht="15.75">
      <c r="B92" s="74"/>
      <c r="C92" s="75"/>
      <c r="D92" s="75"/>
      <c r="E92" s="76"/>
    </row>
    <row r="93" spans="2:5" ht="15">
      <c r="B93" s="38"/>
      <c r="C93" s="77" t="s">
        <v>24</v>
      </c>
      <c r="D93" s="78"/>
      <c r="E93" s="79"/>
    </row>
    <row r="94" spans="2:5" ht="15">
      <c r="B94" s="38"/>
      <c r="C94" s="77"/>
      <c r="D94" s="78"/>
      <c r="E94" s="79"/>
    </row>
    <row r="95" spans="2:5" ht="15.75">
      <c r="B95" s="38"/>
      <c r="C95" s="141" t="s">
        <v>17</v>
      </c>
      <c r="D95" s="80"/>
      <c r="E95" s="79"/>
    </row>
    <row r="96" spans="2:5" ht="15">
      <c r="B96" s="38"/>
      <c r="C96" s="81"/>
      <c r="D96" s="80"/>
      <c r="E96" s="79"/>
    </row>
    <row r="97" spans="2:5" ht="15">
      <c r="B97" s="38"/>
      <c r="C97" s="234" t="s">
        <v>105</v>
      </c>
      <c r="D97" s="235"/>
      <c r="E97" s="236"/>
    </row>
    <row r="98" spans="2:5" ht="15.75" thickBot="1">
      <c r="B98" s="82"/>
      <c r="C98" s="83" t="s">
        <v>58</v>
      </c>
      <c r="D98" s="84"/>
      <c r="E98" s="85"/>
    </row>
    <row r="99" s="31" customFormat="1" ht="13.5" thickTop="1"/>
    <row r="100" s="31" customFormat="1" ht="12.75">
      <c r="C100" s="23"/>
    </row>
    <row r="101" s="31" customFormat="1" ht="12.75"/>
    <row r="102" s="31" customFormat="1" ht="12.75"/>
    <row r="103" s="31" customFormat="1" ht="12.75"/>
    <row r="104" s="31" customFormat="1" ht="12.75"/>
    <row r="105" s="31" customFormat="1" ht="12.75">
      <c r="C105" s="32"/>
    </row>
    <row r="106" s="31" customFormat="1" ht="12.75">
      <c r="C106" s="20"/>
    </row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pans="6:19" s="18" customFormat="1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6:19" s="18" customFormat="1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6:19" s="18" customFormat="1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6:19" s="18" customFormat="1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6:19" s="18" customFormat="1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6:19" s="18" customFormat="1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6:19" s="18" customFormat="1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</sheetData>
  <sheetProtection password="80BB" sheet="1" selectLockedCells="1"/>
  <mergeCells count="29">
    <mergeCell ref="C27:E27"/>
    <mergeCell ref="D28:E28"/>
    <mergeCell ref="D38:E38"/>
    <mergeCell ref="D33:E33"/>
    <mergeCell ref="D48:E48"/>
    <mergeCell ref="B2:E2"/>
    <mergeCell ref="C13:E13"/>
    <mergeCell ref="B14:B17"/>
    <mergeCell ref="C26:E26"/>
    <mergeCell ref="C19:E19"/>
    <mergeCell ref="D20:E20"/>
    <mergeCell ref="D14:E14"/>
    <mergeCell ref="D16:E16"/>
    <mergeCell ref="D17:E17"/>
    <mergeCell ref="D25:E25"/>
    <mergeCell ref="C97:E97"/>
    <mergeCell ref="C75:E75"/>
    <mergeCell ref="C90:D90"/>
    <mergeCell ref="C78:D78"/>
    <mergeCell ref="C79:E79"/>
    <mergeCell ref="B84:E84"/>
    <mergeCell ref="C91:E91"/>
    <mergeCell ref="B77:E77"/>
    <mergeCell ref="C85:E85"/>
    <mergeCell ref="D68:E68"/>
    <mergeCell ref="D43:E43"/>
    <mergeCell ref="D53:E53"/>
    <mergeCell ref="D63:E63"/>
    <mergeCell ref="D58:E58"/>
  </mergeCells>
  <conditionalFormatting sqref="D88">
    <cfRule type="cellIs" priority="9" dxfId="0" operator="greaterThan" stopIfTrue="1">
      <formula>1.33</formula>
    </cfRule>
  </conditionalFormatting>
  <dataValidations count="6">
    <dataValidation type="textLength" operator="equal" allowBlank="1" showInputMessage="1" showErrorMessage="1" error="Wilt u de code invullen volgens voorbeeld&#10;" sqref="D15:E15">
      <formula1>8</formula1>
    </dataValidation>
    <dataValidation type="list" showInputMessage="1" showErrorMessage="1" sqref="D23 D71 D66 D61 D56 D51 D46 D41 D36 D31">
      <formula1>"Dhr.,Mevr."</formula1>
    </dataValidation>
    <dataValidation type="list" allowBlank="1" showInputMessage="1" showErrorMessage="1" sqref="D74:E74">
      <formula1>$G$27:$G$29</formula1>
    </dataValidation>
    <dataValidation type="list" showInputMessage="1" showErrorMessage="1" sqref="D76">
      <formula1>"Ja,Nee"</formula1>
    </dataValidation>
    <dataValidation allowBlank="1" sqref="D86"/>
    <dataValidation showInputMessage="1" showErrorMessage="1" sqref="E23 E31 E36 E41 E46 E51 E56 E61 E66 E71"/>
  </dataValidations>
  <hyperlinks>
    <hyperlink ref="C95" r:id="rId1" display="Klik hier voor het contactformulier"/>
  </hyperlinks>
  <printOptions/>
  <pageMargins left="0.7" right="0.7" top="0.75" bottom="0.75" header="0.3" footer="0.3"/>
  <pageSetup horizontalDpi="600" verticalDpi="600" orientation="portrait" paperSize="9" r:id="rId3"/>
  <ignoredErrors>
    <ignoredError sqref="D8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tabColor theme="3"/>
  </sheetPr>
  <dimension ref="B2:S150"/>
  <sheetViews>
    <sheetView zoomScale="93" zoomScaleNormal="93" zoomScalePageLayoutView="0" workbookViewId="0" topLeftCell="A1">
      <selection activeCell="D90" sqref="D90"/>
    </sheetView>
  </sheetViews>
  <sheetFormatPr defaultColWidth="9.140625" defaultRowHeight="12.75"/>
  <cols>
    <col min="1" max="1" width="1.28515625" style="1" customWidth="1"/>
    <col min="2" max="2" width="4.57421875" style="1" customWidth="1"/>
    <col min="3" max="3" width="55.7109375" style="1" customWidth="1"/>
    <col min="4" max="4" width="31.28125" style="1" customWidth="1"/>
    <col min="5" max="5" width="155.421875" style="1" customWidth="1"/>
    <col min="6" max="6" width="9.140625" style="18" customWidth="1"/>
    <col min="7" max="7" width="9.7109375" style="24" bestFit="1" customWidth="1"/>
    <col min="8" max="10" width="9.140625" style="18" customWidth="1"/>
    <col min="11" max="16384" width="9.140625" style="1" customWidth="1"/>
  </cols>
  <sheetData>
    <row r="1" ht="13.5" thickBot="1"/>
    <row r="2" spans="2:5" ht="52.5" customHeight="1" thickTop="1">
      <c r="B2" s="259" t="s">
        <v>129</v>
      </c>
      <c r="C2" s="260"/>
      <c r="D2" s="260"/>
      <c r="E2" s="261"/>
    </row>
    <row r="3" spans="2:5" ht="15.75">
      <c r="B3" s="2"/>
      <c r="C3" s="3"/>
      <c r="D3" s="4"/>
      <c r="E3" s="5"/>
    </row>
    <row r="4" spans="2:5" ht="15.75">
      <c r="B4" s="2"/>
      <c r="C4" s="39" t="s">
        <v>11</v>
      </c>
      <c r="D4" s="40"/>
      <c r="E4" s="41"/>
    </row>
    <row r="5" spans="2:5" ht="14.25">
      <c r="B5" s="2"/>
      <c r="C5" s="42" t="s">
        <v>18</v>
      </c>
      <c r="D5" s="43"/>
      <c r="E5" s="41"/>
    </row>
    <row r="6" spans="2:5" ht="14.25">
      <c r="B6" s="2"/>
      <c r="C6" s="42" t="s">
        <v>45</v>
      </c>
      <c r="D6" s="43"/>
      <c r="E6" s="41"/>
    </row>
    <row r="7" spans="2:5" ht="14.25">
      <c r="B7" s="2"/>
      <c r="C7" s="42" t="s">
        <v>59</v>
      </c>
      <c r="D7" s="43"/>
      <c r="E7" s="41"/>
    </row>
    <row r="8" spans="2:5" ht="14.25">
      <c r="B8" s="2"/>
      <c r="C8" s="42" t="s">
        <v>19</v>
      </c>
      <c r="D8" s="43"/>
      <c r="E8" s="41"/>
    </row>
    <row r="9" spans="2:5" ht="14.25">
      <c r="B9" s="2"/>
      <c r="C9" s="44" t="s">
        <v>52</v>
      </c>
      <c r="D9" s="43"/>
      <c r="E9" s="41"/>
    </row>
    <row r="10" spans="2:5" ht="14.25">
      <c r="B10" s="2"/>
      <c r="C10" s="42" t="s">
        <v>100</v>
      </c>
      <c r="D10" s="43"/>
      <c r="E10" s="41"/>
    </row>
    <row r="11" spans="2:5" ht="14.25">
      <c r="B11" s="2"/>
      <c r="C11" s="108" t="s">
        <v>78</v>
      </c>
      <c r="D11" s="43"/>
      <c r="E11" s="41"/>
    </row>
    <row r="12" spans="2:5" ht="12.75">
      <c r="B12" s="2"/>
      <c r="C12" s="3"/>
      <c r="D12" s="6"/>
      <c r="E12" s="5"/>
    </row>
    <row r="13" spans="2:19" s="7" customFormat="1" ht="18">
      <c r="B13" s="86" t="s">
        <v>0</v>
      </c>
      <c r="C13" s="266" t="s">
        <v>29</v>
      </c>
      <c r="D13" s="267"/>
      <c r="E13" s="26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2:19" ht="12.75">
      <c r="B14" s="262"/>
      <c r="C14" s="47" t="s">
        <v>27</v>
      </c>
      <c r="D14" s="271"/>
      <c r="E14" s="27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2:19" ht="12.75">
      <c r="B15" s="263"/>
      <c r="C15" s="104" t="s">
        <v>9</v>
      </c>
      <c r="D15" s="169"/>
      <c r="E15" s="16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2:19" ht="12.75">
      <c r="B16" s="264"/>
      <c r="C16" s="47" t="s">
        <v>2</v>
      </c>
      <c r="D16" s="271"/>
      <c r="E16" s="27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24.75" customHeight="1">
      <c r="B17" s="265"/>
      <c r="C17" s="48" t="s">
        <v>56</v>
      </c>
      <c r="D17" s="276"/>
      <c r="E17" s="27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2:19" ht="12.75">
      <c r="B18" s="2"/>
      <c r="C18" s="3"/>
      <c r="D18" s="6"/>
      <c r="E18" s="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2:19" s="7" customFormat="1" ht="18">
      <c r="B19" s="86" t="s">
        <v>22</v>
      </c>
      <c r="C19" s="266" t="s">
        <v>51</v>
      </c>
      <c r="D19" s="267"/>
      <c r="E19" s="26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12.75">
      <c r="B20" s="49"/>
      <c r="C20" s="47" t="s">
        <v>4</v>
      </c>
      <c r="D20" s="225"/>
      <c r="E20" s="226"/>
      <c r="F20" s="31"/>
      <c r="G20" s="34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2:19" ht="12.75">
      <c r="B21" s="49"/>
      <c r="C21" s="47" t="s">
        <v>10</v>
      </c>
      <c r="D21" s="163"/>
      <c r="E21" s="160"/>
      <c r="F21" s="31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2:19" ht="12.75">
      <c r="B22" s="49"/>
      <c r="C22" s="50" t="s">
        <v>7</v>
      </c>
      <c r="D22" s="163"/>
      <c r="E22" s="160"/>
      <c r="F22" s="31"/>
      <c r="G22" s="34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19" ht="12.75">
      <c r="B23" s="51"/>
      <c r="C23" s="47" t="s">
        <v>1</v>
      </c>
      <c r="D23" s="163"/>
      <c r="E23" s="165"/>
      <c r="F23" s="31"/>
      <c r="G23" s="34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ht="12.75">
      <c r="B24" s="51"/>
      <c r="C24" s="47" t="s">
        <v>8</v>
      </c>
      <c r="D24" s="163"/>
      <c r="E24" s="160"/>
      <c r="F24" s="31"/>
      <c r="G24" s="3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2:19" ht="12.75">
      <c r="B25" s="30"/>
      <c r="C25" s="170"/>
      <c r="D25" s="189"/>
      <c r="E25" s="190"/>
      <c r="F25" s="31"/>
      <c r="G25" s="3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2:19" s="7" customFormat="1" ht="18">
      <c r="B26" s="86" t="s">
        <v>23</v>
      </c>
      <c r="C26" s="266" t="s">
        <v>28</v>
      </c>
      <c r="D26" s="269"/>
      <c r="E26" s="270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19" ht="30.75" customHeight="1">
      <c r="B27" s="180"/>
      <c r="C27" s="273" t="s">
        <v>30</v>
      </c>
      <c r="D27" s="274"/>
      <c r="E27" s="275"/>
      <c r="F27" s="31"/>
      <c r="G27" s="3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2:19" ht="12.75">
      <c r="B28" s="181">
        <v>1</v>
      </c>
      <c r="C28" s="182" t="s">
        <v>4</v>
      </c>
      <c r="D28" s="223"/>
      <c r="E28" s="224"/>
      <c r="F28" s="31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2:19" ht="12.75">
      <c r="B29" s="49"/>
      <c r="C29" s="47" t="s">
        <v>10</v>
      </c>
      <c r="D29" s="176"/>
      <c r="E29" s="178"/>
      <c r="F29" s="31"/>
      <c r="G29" s="34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2:19" ht="12.75">
      <c r="B30" s="49"/>
      <c r="C30" s="50" t="s">
        <v>7</v>
      </c>
      <c r="D30" s="177"/>
      <c r="E30" s="186"/>
      <c r="F30" s="31"/>
      <c r="G30" s="3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2:19" ht="12.75">
      <c r="B31" s="51"/>
      <c r="C31" s="47" t="s">
        <v>1</v>
      </c>
      <c r="D31" s="176"/>
      <c r="E31" s="179"/>
      <c r="F31" s="31"/>
      <c r="G31" s="34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12.75">
      <c r="B32" s="183"/>
      <c r="C32" s="184" t="s">
        <v>8</v>
      </c>
      <c r="D32" s="185"/>
      <c r="E32" s="187"/>
      <c r="F32" s="31"/>
      <c r="G32" s="34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2:19" ht="12.75">
      <c r="B33" s="181">
        <v>2</v>
      </c>
      <c r="C33" s="182" t="s">
        <v>4</v>
      </c>
      <c r="D33" s="223"/>
      <c r="E33" s="22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2.75">
      <c r="B34" s="49"/>
      <c r="C34" s="47" t="s">
        <v>10</v>
      </c>
      <c r="D34" s="176"/>
      <c r="E34" s="17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19" ht="12.75">
      <c r="B35" s="49"/>
      <c r="C35" s="50" t="s">
        <v>7</v>
      </c>
      <c r="D35" s="177"/>
      <c r="E35" s="186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2:19" ht="12.75">
      <c r="B36" s="51"/>
      <c r="C36" s="47" t="s">
        <v>1</v>
      </c>
      <c r="D36" s="176"/>
      <c r="E36" s="17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19" ht="12.75">
      <c r="B37" s="183"/>
      <c r="C37" s="184" t="s">
        <v>8</v>
      </c>
      <c r="D37" s="185"/>
      <c r="E37" s="187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ht="12.75">
      <c r="B38" s="181">
        <v>3</v>
      </c>
      <c r="C38" s="182" t="s">
        <v>4</v>
      </c>
      <c r="D38" s="223"/>
      <c r="E38" s="224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2:19" ht="12.75">
      <c r="B39" s="49"/>
      <c r="C39" s="47" t="s">
        <v>10</v>
      </c>
      <c r="D39" s="176"/>
      <c r="E39" s="17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2:19" ht="12.75">
      <c r="B40" s="49"/>
      <c r="C40" s="50" t="s">
        <v>7</v>
      </c>
      <c r="D40" s="177"/>
      <c r="E40" s="186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ht="12.75">
      <c r="B41" s="51"/>
      <c r="C41" s="47" t="s">
        <v>1</v>
      </c>
      <c r="D41" s="176"/>
      <c r="E41" s="17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2:19" ht="12.75">
      <c r="B42" s="183"/>
      <c r="C42" s="184" t="s">
        <v>8</v>
      </c>
      <c r="D42" s="185"/>
      <c r="E42" s="187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.75">
      <c r="B43" s="181">
        <v>4</v>
      </c>
      <c r="C43" s="182" t="s">
        <v>4</v>
      </c>
      <c r="D43" s="223"/>
      <c r="E43" s="224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ht="12.75">
      <c r="B44" s="49"/>
      <c r="C44" s="47" t="s">
        <v>10</v>
      </c>
      <c r="D44" s="176"/>
      <c r="E44" s="17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2:19" ht="12.75">
      <c r="B45" s="49"/>
      <c r="C45" s="50" t="s">
        <v>7</v>
      </c>
      <c r="D45" s="177"/>
      <c r="E45" s="186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.75">
      <c r="B46" s="51"/>
      <c r="C46" s="47" t="s">
        <v>1</v>
      </c>
      <c r="D46" s="176"/>
      <c r="E46" s="17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2:19" ht="12.75">
      <c r="B47" s="183"/>
      <c r="C47" s="184" t="s">
        <v>8</v>
      </c>
      <c r="D47" s="185"/>
      <c r="E47" s="187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2:19" ht="12.75">
      <c r="B48" s="181">
        <v>5</v>
      </c>
      <c r="C48" s="182" t="s">
        <v>4</v>
      </c>
      <c r="D48" s="223"/>
      <c r="E48" s="224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2:19" ht="12.75">
      <c r="B49" s="49"/>
      <c r="C49" s="47" t="s">
        <v>10</v>
      </c>
      <c r="D49" s="176"/>
      <c r="E49" s="178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2:19" ht="12.75">
      <c r="B50" s="49"/>
      <c r="C50" s="50" t="s">
        <v>7</v>
      </c>
      <c r="D50" s="177"/>
      <c r="E50" s="186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2:19" ht="12.75">
      <c r="B51" s="51"/>
      <c r="C51" s="47" t="s">
        <v>1</v>
      </c>
      <c r="D51" s="176"/>
      <c r="E51" s="179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2:19" ht="12.75">
      <c r="B52" s="183"/>
      <c r="C52" s="184" t="s">
        <v>8</v>
      </c>
      <c r="D52" s="185"/>
      <c r="E52" s="187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2:19" ht="12.75">
      <c r="B53" s="181">
        <v>6</v>
      </c>
      <c r="C53" s="182" t="s">
        <v>4</v>
      </c>
      <c r="D53" s="223"/>
      <c r="E53" s="22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2:19" ht="12.75">
      <c r="B54" s="49"/>
      <c r="C54" s="47" t="s">
        <v>10</v>
      </c>
      <c r="D54" s="176"/>
      <c r="E54" s="178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2:19" ht="12.75">
      <c r="B55" s="49"/>
      <c r="C55" s="50" t="s">
        <v>7</v>
      </c>
      <c r="D55" s="177"/>
      <c r="E55" s="186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2:19" ht="12.75">
      <c r="B56" s="51"/>
      <c r="C56" s="47" t="s">
        <v>1</v>
      </c>
      <c r="D56" s="176"/>
      <c r="E56" s="179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2:19" ht="12.75">
      <c r="B57" s="183"/>
      <c r="C57" s="184" t="s">
        <v>8</v>
      </c>
      <c r="D57" s="185"/>
      <c r="E57" s="187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2:19" ht="12.75">
      <c r="B58" s="181">
        <v>7</v>
      </c>
      <c r="C58" s="182" t="s">
        <v>4</v>
      </c>
      <c r="D58" s="223"/>
      <c r="E58" s="224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2:19" ht="12.75">
      <c r="B59" s="49"/>
      <c r="C59" s="47" t="s">
        <v>10</v>
      </c>
      <c r="D59" s="176"/>
      <c r="E59" s="178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2:19" ht="12.75">
      <c r="B60" s="49"/>
      <c r="C60" s="50" t="s">
        <v>7</v>
      </c>
      <c r="D60" s="177"/>
      <c r="E60" s="186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2:19" ht="12.75">
      <c r="B61" s="51"/>
      <c r="C61" s="47" t="s">
        <v>1</v>
      </c>
      <c r="D61" s="176"/>
      <c r="E61" s="179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2:19" ht="12.75">
      <c r="B62" s="183"/>
      <c r="C62" s="184" t="s">
        <v>8</v>
      </c>
      <c r="D62" s="185"/>
      <c r="E62" s="187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2:19" ht="12.75">
      <c r="B63" s="181">
        <v>8</v>
      </c>
      <c r="C63" s="182" t="s">
        <v>4</v>
      </c>
      <c r="D63" s="223"/>
      <c r="E63" s="22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2:19" ht="12.75">
      <c r="B64" s="49"/>
      <c r="C64" s="47" t="s">
        <v>10</v>
      </c>
      <c r="D64" s="176"/>
      <c r="E64" s="17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ht="12.75">
      <c r="B65" s="49"/>
      <c r="C65" s="50" t="s">
        <v>7</v>
      </c>
      <c r="D65" s="177"/>
      <c r="E65" s="186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ht="12.75">
      <c r="B66" s="51"/>
      <c r="C66" s="47" t="s">
        <v>1</v>
      </c>
      <c r="D66" s="176"/>
      <c r="E66" s="179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ht="12.75">
      <c r="B67" s="183"/>
      <c r="C67" s="184" t="s">
        <v>8</v>
      </c>
      <c r="D67" s="185"/>
      <c r="E67" s="187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ht="12.75">
      <c r="B68" s="181">
        <v>9</v>
      </c>
      <c r="C68" s="182" t="s">
        <v>4</v>
      </c>
      <c r="D68" s="223"/>
      <c r="E68" s="22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ht="12.75">
      <c r="B69" s="49"/>
      <c r="C69" s="47" t="s">
        <v>10</v>
      </c>
      <c r="D69" s="176"/>
      <c r="E69" s="178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ht="12.75">
      <c r="B70" s="49"/>
      <c r="C70" s="50" t="s">
        <v>7</v>
      </c>
      <c r="D70" s="177"/>
      <c r="E70" s="18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s="7" customFormat="1" ht="15">
      <c r="B71" s="51"/>
      <c r="C71" s="47" t="s">
        <v>1</v>
      </c>
      <c r="D71" s="176"/>
      <c r="E71" s="17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5.75" customHeight="1">
      <c r="B72" s="183"/>
      <c r="C72" s="184" t="s">
        <v>8</v>
      </c>
      <c r="D72" s="185"/>
      <c r="E72" s="187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ht="12.75">
      <c r="B73" s="52"/>
      <c r="C73" s="53"/>
      <c r="D73" s="53"/>
      <c r="E73" s="54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5" ht="12.75">
      <c r="B74" s="17"/>
      <c r="C74" s="15"/>
      <c r="D74" s="15"/>
      <c r="E74" s="16"/>
    </row>
    <row r="75" spans="2:19" s="7" customFormat="1" ht="18">
      <c r="B75" s="86" t="s">
        <v>42</v>
      </c>
      <c r="C75" s="266" t="s">
        <v>31</v>
      </c>
      <c r="D75" s="269"/>
      <c r="E75" s="270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 ht="25.5">
      <c r="B76" s="17"/>
      <c r="C76" s="140" t="s">
        <v>125</v>
      </c>
      <c r="D76" s="97"/>
      <c r="E76" s="188" t="str">
        <f>IF(D76="NEE","U voldoet niet aan de voorwaarden. Het afsluiten van de POH-S module is niet mogelijk."," ")</f>
        <v> </v>
      </c>
      <c r="F76" s="31"/>
      <c r="G76" s="32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5" ht="12.75">
      <c r="B77" s="17"/>
      <c r="C77" s="15"/>
      <c r="D77" s="15"/>
      <c r="E77" s="16"/>
    </row>
    <row r="78" spans="2:5" ht="18">
      <c r="B78" s="88" t="s">
        <v>41</v>
      </c>
      <c r="C78" s="278" t="s">
        <v>34</v>
      </c>
      <c r="D78" s="279"/>
      <c r="E78" s="89" t="s">
        <v>3</v>
      </c>
    </row>
    <row r="79" spans="2:5" ht="15.75">
      <c r="B79" s="21"/>
      <c r="C79" s="242" t="s">
        <v>85</v>
      </c>
      <c r="D79" s="243"/>
      <c r="E79" s="244"/>
    </row>
    <row r="80" spans="2:5" ht="15.75">
      <c r="B80" s="21"/>
      <c r="C80" s="91" t="s">
        <v>84</v>
      </c>
      <c r="D80" s="91"/>
      <c r="E80" s="158"/>
    </row>
    <row r="81" spans="2:5" ht="25.5">
      <c r="B81" s="60"/>
      <c r="C81" s="63" t="s">
        <v>47</v>
      </c>
      <c r="D81" s="144">
        <v>0</v>
      </c>
      <c r="E81" s="64" t="s">
        <v>72</v>
      </c>
    </row>
    <row r="82" spans="2:5" ht="12.75">
      <c r="B82" s="60"/>
      <c r="C82" s="61" t="s">
        <v>46</v>
      </c>
      <c r="D82" s="97">
        <v>2168</v>
      </c>
      <c r="E82" s="111"/>
    </row>
    <row r="83" spans="2:5" ht="12.75">
      <c r="B83" s="214" t="s">
        <v>13</v>
      </c>
      <c r="C83" s="215"/>
      <c r="D83" s="215"/>
      <c r="E83" s="216"/>
    </row>
    <row r="84" spans="2:5" ht="12.75">
      <c r="B84" s="60"/>
      <c r="C84" s="91" t="s">
        <v>66</v>
      </c>
      <c r="D84" s="92"/>
      <c r="E84" s="90"/>
    </row>
    <row r="85" spans="2:7" ht="38.25">
      <c r="B85" s="60"/>
      <c r="C85" s="61" t="s">
        <v>67</v>
      </c>
      <c r="D85" s="97">
        <v>0</v>
      </c>
      <c r="E85" s="93"/>
      <c r="G85" s="24" t="s">
        <v>5</v>
      </c>
    </row>
    <row r="86" spans="2:5" ht="12.75">
      <c r="B86" s="60"/>
      <c r="C86" s="61" t="s">
        <v>69</v>
      </c>
      <c r="D86" s="157">
        <f>afnameformatie/38</f>
        <v>0</v>
      </c>
      <c r="E86" s="93" t="s">
        <v>73</v>
      </c>
    </row>
    <row r="87" spans="2:5" ht="25.5">
      <c r="B87" s="60"/>
      <c r="C87" s="96" t="s">
        <v>68</v>
      </c>
      <c r="D87" s="105">
        <f>IF(ISERROR((((D85/38)*(80821.25*1.02))/4)/aantalpat),0,(((D85/38)*(80821.25*1.02))/4)/aantalpat)</f>
        <v>0</v>
      </c>
      <c r="E87" s="90" t="s">
        <v>101</v>
      </c>
    </row>
    <row r="88" spans="2:5" ht="12.75">
      <c r="B88" s="214"/>
      <c r="C88" s="215"/>
      <c r="D88" s="215"/>
      <c r="E88" s="216"/>
    </row>
    <row r="89" spans="2:5" ht="51">
      <c r="B89" s="60"/>
      <c r="C89" s="91" t="s">
        <v>48</v>
      </c>
      <c r="D89" s="92"/>
      <c r="E89" s="90" t="s">
        <v>95</v>
      </c>
    </row>
    <row r="90" spans="2:7" ht="12.75">
      <c r="B90" s="60"/>
      <c r="C90" s="61" t="s">
        <v>97</v>
      </c>
      <c r="D90" s="97" t="s">
        <v>109</v>
      </c>
      <c r="E90" s="112">
        <f>IF(D90="nee",0,0.85)</f>
        <v>0</v>
      </c>
      <c r="G90" s="24" t="s">
        <v>5</v>
      </c>
    </row>
    <row r="91" spans="2:7" ht="12.75">
      <c r="B91" s="60"/>
      <c r="C91" s="61" t="s">
        <v>63</v>
      </c>
      <c r="D91" s="97" t="s">
        <v>109</v>
      </c>
      <c r="E91" s="112">
        <f>IF(D91="nee",0,0.29)</f>
        <v>0</v>
      </c>
      <c r="G91" s="24" t="s">
        <v>6</v>
      </c>
    </row>
    <row r="92" spans="2:5" ht="12.75">
      <c r="B92" s="60"/>
      <c r="C92" s="61" t="s">
        <v>86</v>
      </c>
      <c r="D92" s="97" t="s">
        <v>109</v>
      </c>
      <c r="E92" s="112">
        <f>IF(D92="nee",0,0.57)</f>
        <v>0</v>
      </c>
    </row>
    <row r="93" spans="2:5" ht="12.75">
      <c r="B93" s="60"/>
      <c r="C93" s="96" t="s">
        <v>98</v>
      </c>
      <c r="D93" s="94">
        <f>E90+E91+E92</f>
        <v>0</v>
      </c>
      <c r="E93" s="142" t="s">
        <v>79</v>
      </c>
    </row>
    <row r="94" spans="2:5" ht="12.75">
      <c r="B94" s="214"/>
      <c r="C94" s="215"/>
      <c r="D94" s="215"/>
      <c r="E94" s="216"/>
    </row>
    <row r="95" spans="2:5" ht="12.75">
      <c r="B95" s="60"/>
      <c r="C95" s="220" t="s">
        <v>15</v>
      </c>
      <c r="D95" s="221"/>
      <c r="E95" s="222"/>
    </row>
    <row r="96" spans="2:5" ht="12.75">
      <c r="B96" s="60"/>
      <c r="C96" s="65" t="s">
        <v>14</v>
      </c>
      <c r="D96" s="68">
        <f>D87+b_vw10</f>
        <v>0</v>
      </c>
      <c r="E96" s="67" t="s">
        <v>80</v>
      </c>
    </row>
    <row r="97" spans="2:5" ht="12.75">
      <c r="B97" s="60"/>
      <c r="C97" s="65" t="s">
        <v>40</v>
      </c>
      <c r="D97" s="68">
        <f>IF(POHfte-totaalafslag&lt;0,0,POHfte-totaalafslag)</f>
        <v>0</v>
      </c>
      <c r="E97" s="69" t="s">
        <v>74</v>
      </c>
    </row>
    <row r="98" spans="2:5" ht="12.75">
      <c r="B98" s="8"/>
      <c r="C98" s="9"/>
      <c r="D98" s="10"/>
      <c r="E98" s="11"/>
    </row>
    <row r="99" spans="2:5" ht="15">
      <c r="B99" s="2"/>
      <c r="C99" s="143" t="s">
        <v>16</v>
      </c>
      <c r="D99" s="27"/>
      <c r="E99" s="26"/>
    </row>
    <row r="100" spans="2:5" ht="15">
      <c r="B100" s="2"/>
      <c r="C100" s="28"/>
      <c r="D100" s="27"/>
      <c r="E100" s="26"/>
    </row>
    <row r="101" spans="2:5" ht="15.75">
      <c r="B101" s="2"/>
      <c r="C101" s="141" t="s">
        <v>17</v>
      </c>
      <c r="D101" s="25"/>
      <c r="E101" s="26"/>
    </row>
    <row r="102" spans="2:5" ht="15">
      <c r="B102" s="2"/>
      <c r="C102" s="29"/>
      <c r="D102" s="25"/>
      <c r="E102" s="26"/>
    </row>
    <row r="103" spans="2:5" ht="33" customHeight="1">
      <c r="B103" s="2"/>
      <c r="C103" s="234" t="s">
        <v>61</v>
      </c>
      <c r="D103" s="257"/>
      <c r="E103" s="258"/>
    </row>
    <row r="104" spans="2:5" ht="15.75" thickBot="1">
      <c r="B104" s="12"/>
      <c r="C104" s="83" t="s">
        <v>62</v>
      </c>
      <c r="D104" s="13"/>
      <c r="E104" s="14"/>
    </row>
    <row r="105" s="18" customFormat="1" ht="13.5" thickTop="1">
      <c r="G105" s="24"/>
    </row>
    <row r="106" spans="3:7" s="18" customFormat="1" ht="12.75">
      <c r="C106" s="23"/>
      <c r="G106" s="24"/>
    </row>
    <row r="107" s="18" customFormat="1" ht="12.75">
      <c r="G107" s="24"/>
    </row>
    <row r="108" s="18" customFormat="1" ht="12.75">
      <c r="G108" s="24"/>
    </row>
    <row r="109" s="18" customFormat="1" ht="12.75">
      <c r="G109" s="24"/>
    </row>
    <row r="110" spans="4:7" s="18" customFormat="1" ht="12.75">
      <c r="D110" s="18" t="s">
        <v>13</v>
      </c>
      <c r="G110" s="24"/>
    </row>
    <row r="111" spans="3:7" s="18" customFormat="1" ht="12.75">
      <c r="C111" s="19"/>
      <c r="G111" s="24"/>
    </row>
    <row r="112" spans="3:7" s="18" customFormat="1" ht="12.75">
      <c r="C112" s="20"/>
      <c r="G112" s="24"/>
    </row>
    <row r="113" s="18" customFormat="1" ht="12.75">
      <c r="G113" s="24"/>
    </row>
    <row r="114" s="18" customFormat="1" ht="12.75">
      <c r="G114" s="24"/>
    </row>
    <row r="115" s="18" customFormat="1" ht="12.75">
      <c r="G115" s="24"/>
    </row>
    <row r="116" s="18" customFormat="1" ht="12.75">
      <c r="G116" s="24"/>
    </row>
    <row r="117" s="18" customFormat="1" ht="12.75">
      <c r="G117" s="24"/>
    </row>
    <row r="118" s="18" customFormat="1" ht="12.75">
      <c r="G118" s="24"/>
    </row>
    <row r="119" s="18" customFormat="1" ht="12.75">
      <c r="G119" s="24"/>
    </row>
    <row r="120" s="18" customFormat="1" ht="12.75">
      <c r="G120" s="24"/>
    </row>
    <row r="121" s="18" customFormat="1" ht="12.75">
      <c r="G121" s="24"/>
    </row>
    <row r="122" s="18" customFormat="1" ht="12.75">
      <c r="G122" s="24"/>
    </row>
    <row r="123" s="18" customFormat="1" ht="12.75">
      <c r="G123" s="24"/>
    </row>
    <row r="124" s="18" customFormat="1" ht="12.75">
      <c r="G124" s="24"/>
    </row>
    <row r="125" s="18" customFormat="1" ht="12.75">
      <c r="G125" s="24"/>
    </row>
    <row r="126" s="18" customFormat="1" ht="12.75">
      <c r="G126" s="24"/>
    </row>
    <row r="127" s="18" customFormat="1" ht="12.75">
      <c r="G127" s="24"/>
    </row>
    <row r="128" s="18" customFormat="1" ht="12.75">
      <c r="G128" s="24"/>
    </row>
    <row r="129" s="18" customFormat="1" ht="12.75">
      <c r="G129" s="24"/>
    </row>
    <row r="130" s="18" customFormat="1" ht="12.75">
      <c r="G130" s="24"/>
    </row>
    <row r="131" s="18" customFormat="1" ht="12.75">
      <c r="G131" s="24"/>
    </row>
    <row r="132" s="18" customFormat="1" ht="12.75">
      <c r="G132" s="24"/>
    </row>
    <row r="133" s="18" customFormat="1" ht="12.75">
      <c r="G133" s="24"/>
    </row>
    <row r="134" s="18" customFormat="1" ht="12.75">
      <c r="G134" s="24"/>
    </row>
    <row r="135" s="18" customFormat="1" ht="12.75">
      <c r="G135" s="24"/>
    </row>
    <row r="136" s="18" customFormat="1" ht="12.75">
      <c r="G136" s="24"/>
    </row>
    <row r="137" s="18" customFormat="1" ht="12.75">
      <c r="G137" s="24"/>
    </row>
    <row r="138" s="18" customFormat="1" ht="12.75">
      <c r="G138" s="24"/>
    </row>
    <row r="139" s="18" customFormat="1" ht="12.75">
      <c r="G139" s="24"/>
    </row>
    <row r="140" s="18" customFormat="1" ht="12.75">
      <c r="G140" s="24"/>
    </row>
    <row r="141" s="18" customFormat="1" ht="12.75">
      <c r="G141" s="24"/>
    </row>
    <row r="142" s="18" customFormat="1" ht="12.75">
      <c r="G142" s="24"/>
    </row>
    <row r="143" s="18" customFormat="1" ht="12.75">
      <c r="G143" s="24"/>
    </row>
    <row r="144" s="18" customFormat="1" ht="12.75">
      <c r="G144" s="24"/>
    </row>
    <row r="145" s="18" customFormat="1" ht="12.75">
      <c r="G145" s="24"/>
    </row>
    <row r="146" s="18" customFormat="1" ht="12.75">
      <c r="G146" s="24"/>
    </row>
    <row r="147" s="18" customFormat="1" ht="12.75">
      <c r="G147" s="24"/>
    </row>
    <row r="148" s="18" customFormat="1" ht="12.75">
      <c r="G148" s="24"/>
    </row>
    <row r="149" s="18" customFormat="1" ht="12.75">
      <c r="G149" s="24"/>
    </row>
    <row r="150" s="18" customFormat="1" ht="12.75">
      <c r="G150" s="24"/>
    </row>
  </sheetData>
  <sheetProtection password="80BB" sheet="1" selectLockedCells="1"/>
  <mergeCells count="27">
    <mergeCell ref="D28:E28"/>
    <mergeCell ref="C27:E27"/>
    <mergeCell ref="D14:E14"/>
    <mergeCell ref="D17:E17"/>
    <mergeCell ref="C79:E79"/>
    <mergeCell ref="D48:E48"/>
    <mergeCell ref="C78:D78"/>
    <mergeCell ref="C13:E13"/>
    <mergeCell ref="D38:E38"/>
    <mergeCell ref="D16:E16"/>
    <mergeCell ref="D53:E53"/>
    <mergeCell ref="D33:E33"/>
    <mergeCell ref="D68:E68"/>
    <mergeCell ref="D43:E43"/>
    <mergeCell ref="D20:E20"/>
    <mergeCell ref="D58:E58"/>
    <mergeCell ref="D63:E63"/>
    <mergeCell ref="C103:E103"/>
    <mergeCell ref="B83:E83"/>
    <mergeCell ref="C95:E95"/>
    <mergeCell ref="B94:E94"/>
    <mergeCell ref="B88:E88"/>
    <mergeCell ref="B2:E2"/>
    <mergeCell ref="B14:B17"/>
    <mergeCell ref="C19:E19"/>
    <mergeCell ref="C26:E26"/>
    <mergeCell ref="C75:E75"/>
  </mergeCells>
  <dataValidations count="4">
    <dataValidation type="list" showInputMessage="1" showErrorMessage="1" sqref="D88 D90:D92 D94">
      <formula1>"Ja,Nee"</formula1>
    </dataValidation>
    <dataValidation type="list" showInputMessage="1" showErrorMessage="1" sqref="D23 D71 D66 D61 D56 D51 D46 D41 D36 D31">
      <formula1>"Dhr.,Mevr."</formula1>
    </dataValidation>
    <dataValidation type="textLength" operator="equal" allowBlank="1" showInputMessage="1" showErrorMessage="1" error="Wilt u de code invullen volgens voorbeeld&#10;" sqref="D15:E15">
      <formula1>8</formula1>
    </dataValidation>
    <dataValidation type="list" showInputMessage="1" showErrorMessage="1" sqref="D76">
      <formula1>"Ja,Nee"</formula1>
    </dataValidation>
  </dataValidations>
  <hyperlinks>
    <hyperlink ref="C101" r:id="rId1" display="Klik hier voor het contactformulier"/>
  </hyperlinks>
  <printOptions/>
  <pageMargins left="0.75" right="0.75" top="1" bottom="1" header="0.5" footer="0.5"/>
  <pageSetup horizontalDpi="600" verticalDpi="600" orientation="landscape" paperSize="8" scale="79" r:id="rId3"/>
  <colBreaks count="1" manualBreakCount="1">
    <brk id="5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theme="3"/>
  </sheetPr>
  <dimension ref="B2:S160"/>
  <sheetViews>
    <sheetView zoomScale="93" zoomScaleNormal="93" zoomScalePageLayoutView="0" workbookViewId="0" topLeftCell="A67">
      <selection activeCell="D91" sqref="D91"/>
    </sheetView>
  </sheetViews>
  <sheetFormatPr defaultColWidth="9.140625" defaultRowHeight="12.75"/>
  <cols>
    <col min="1" max="1" width="1.28515625" style="1" customWidth="1"/>
    <col min="2" max="2" width="4.57421875" style="1" customWidth="1"/>
    <col min="3" max="3" width="55.7109375" style="1" customWidth="1"/>
    <col min="4" max="4" width="31.28125" style="1" customWidth="1"/>
    <col min="5" max="5" width="155.421875" style="1" customWidth="1"/>
    <col min="6" max="6" width="9.140625" style="18" customWidth="1"/>
    <col min="7" max="7" width="9.7109375" style="24" bestFit="1" customWidth="1"/>
    <col min="8" max="10" width="9.140625" style="18" customWidth="1"/>
    <col min="11" max="16384" width="9.140625" style="1" customWidth="1"/>
  </cols>
  <sheetData>
    <row r="1" ht="13.5" thickBot="1"/>
    <row r="2" spans="2:5" ht="62.25" customHeight="1" thickTop="1">
      <c r="B2" s="305" t="s">
        <v>128</v>
      </c>
      <c r="C2" s="260"/>
      <c r="D2" s="260"/>
      <c r="E2" s="261"/>
    </row>
    <row r="3" spans="2:5" ht="15.75">
      <c r="B3" s="2"/>
      <c r="C3" s="3"/>
      <c r="D3" s="4"/>
      <c r="E3" s="5"/>
    </row>
    <row r="4" spans="2:5" ht="15.75">
      <c r="B4" s="2"/>
      <c r="C4" s="39" t="s">
        <v>11</v>
      </c>
      <c r="D4" s="40"/>
      <c r="E4" s="41"/>
    </row>
    <row r="5" spans="2:5" ht="14.25">
      <c r="B5" s="2"/>
      <c r="C5" s="42" t="s">
        <v>18</v>
      </c>
      <c r="D5" s="43"/>
      <c r="E5" s="41"/>
    </row>
    <row r="6" spans="2:5" ht="14.25">
      <c r="B6" s="2"/>
      <c r="C6" s="42" t="s">
        <v>45</v>
      </c>
      <c r="D6" s="43"/>
      <c r="E6" s="41"/>
    </row>
    <row r="7" spans="2:5" ht="14.25">
      <c r="B7" s="2"/>
      <c r="C7" s="42" t="s">
        <v>102</v>
      </c>
      <c r="D7" s="43"/>
      <c r="E7" s="41"/>
    </row>
    <row r="8" spans="2:5" ht="14.25">
      <c r="B8" s="2"/>
      <c r="C8" s="108" t="s">
        <v>60</v>
      </c>
      <c r="D8" s="109"/>
      <c r="E8" s="110"/>
    </row>
    <row r="9" spans="2:5" ht="14.25">
      <c r="B9" s="2"/>
      <c r="C9" s="44" t="s">
        <v>65</v>
      </c>
      <c r="D9" s="43"/>
      <c r="E9" s="41"/>
    </row>
    <row r="10" spans="2:5" ht="14.25">
      <c r="B10" s="2"/>
      <c r="C10" s="42" t="s">
        <v>100</v>
      </c>
      <c r="D10" s="43"/>
      <c r="E10" s="41"/>
    </row>
    <row r="11" spans="2:5" ht="14.25">
      <c r="B11" s="2"/>
      <c r="C11" s="108" t="s">
        <v>78</v>
      </c>
      <c r="D11" s="43"/>
      <c r="E11" s="41"/>
    </row>
    <row r="12" spans="2:5" ht="12.75">
      <c r="B12" s="2"/>
      <c r="C12" s="3"/>
      <c r="D12" s="6"/>
      <c r="E12" s="5"/>
    </row>
    <row r="13" spans="2:19" s="7" customFormat="1" ht="18">
      <c r="B13" s="86" t="s">
        <v>0</v>
      </c>
      <c r="C13" s="266" t="s">
        <v>29</v>
      </c>
      <c r="D13" s="267"/>
      <c r="E13" s="26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2:19" ht="12.75">
      <c r="B14" s="296"/>
      <c r="C14" s="47" t="s">
        <v>27</v>
      </c>
      <c r="D14" s="271"/>
      <c r="E14" s="27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2:19" ht="12.75">
      <c r="B15" s="297"/>
      <c r="C15" s="104" t="s">
        <v>9</v>
      </c>
      <c r="D15" s="169"/>
      <c r="E15" s="16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2:19" ht="12.75">
      <c r="B16" s="297"/>
      <c r="C16" s="47" t="s">
        <v>2</v>
      </c>
      <c r="D16" s="271"/>
      <c r="E16" s="27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24.75" customHeight="1">
      <c r="B17" s="254"/>
      <c r="C17" s="48" t="s">
        <v>56</v>
      </c>
      <c r="D17" s="298"/>
      <c r="E17" s="27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2:19" ht="12.75">
      <c r="B18" s="2"/>
      <c r="C18" s="3"/>
      <c r="D18" s="6"/>
      <c r="E18" s="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2:19" s="7" customFormat="1" ht="18">
      <c r="B19" s="86" t="s">
        <v>22</v>
      </c>
      <c r="C19" s="266" t="s">
        <v>51</v>
      </c>
      <c r="D19" s="267"/>
      <c r="E19" s="26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12.75">
      <c r="B20" s="49"/>
      <c r="C20" s="47" t="s">
        <v>4</v>
      </c>
      <c r="D20" s="294"/>
      <c r="E20" s="295"/>
      <c r="F20" s="31"/>
      <c r="G20" s="34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2:19" ht="12.75">
      <c r="B21" s="49"/>
      <c r="C21" s="47" t="s">
        <v>10</v>
      </c>
      <c r="D21" s="164"/>
      <c r="E21" s="162"/>
      <c r="F21" s="31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2:19" ht="12.75">
      <c r="B22" s="49"/>
      <c r="C22" s="50" t="s">
        <v>7</v>
      </c>
      <c r="D22" s="164"/>
      <c r="E22" s="162"/>
      <c r="F22" s="31"/>
      <c r="G22" s="34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19" ht="12.75">
      <c r="B23" s="51"/>
      <c r="C23" s="47" t="s">
        <v>1</v>
      </c>
      <c r="D23" s="164"/>
      <c r="E23" s="166"/>
      <c r="F23" s="31"/>
      <c r="G23" s="34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ht="12.75">
      <c r="B24" s="51"/>
      <c r="C24" s="47" t="s">
        <v>8</v>
      </c>
      <c r="D24" s="164"/>
      <c r="E24" s="162"/>
      <c r="F24" s="31"/>
      <c r="G24" s="3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2:19" ht="12.75">
      <c r="B25" s="30"/>
      <c r="C25" s="170"/>
      <c r="D25" s="189"/>
      <c r="E25" s="190"/>
      <c r="F25" s="31"/>
      <c r="G25" s="3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2:19" s="7" customFormat="1" ht="18">
      <c r="B26" s="86" t="s">
        <v>23</v>
      </c>
      <c r="C26" s="266" t="s">
        <v>28</v>
      </c>
      <c r="D26" s="269"/>
      <c r="E26" s="270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19" ht="30.75" customHeight="1">
      <c r="B27" s="180"/>
      <c r="C27" s="273" t="s">
        <v>30</v>
      </c>
      <c r="D27" s="274"/>
      <c r="E27" s="275"/>
      <c r="F27" s="31"/>
      <c r="G27" s="3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2:19" ht="12.75">
      <c r="B28" s="181">
        <v>1</v>
      </c>
      <c r="C28" s="182" t="s">
        <v>4</v>
      </c>
      <c r="D28" s="223"/>
      <c r="E28" s="224"/>
      <c r="F28" s="31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2:19" ht="12.75">
      <c r="B29" s="49"/>
      <c r="C29" s="47" t="s">
        <v>10</v>
      </c>
      <c r="D29" s="176"/>
      <c r="E29" s="178"/>
      <c r="F29" s="31"/>
      <c r="G29" s="34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2:19" ht="12.75">
      <c r="B30" s="49"/>
      <c r="C30" s="50" t="s">
        <v>7</v>
      </c>
      <c r="D30" s="177"/>
      <c r="E30" s="186"/>
      <c r="F30" s="31"/>
      <c r="G30" s="3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2:19" ht="12.75">
      <c r="B31" s="51"/>
      <c r="C31" s="47" t="s">
        <v>1</v>
      </c>
      <c r="D31" s="176"/>
      <c r="E31" s="179"/>
      <c r="F31" s="31"/>
      <c r="G31" s="34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12.75">
      <c r="B32" s="183"/>
      <c r="C32" s="184" t="s">
        <v>8</v>
      </c>
      <c r="D32" s="185"/>
      <c r="E32" s="187"/>
      <c r="F32" s="31"/>
      <c r="G32" s="34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2:19" ht="12.75">
      <c r="B33" s="181">
        <v>2</v>
      </c>
      <c r="C33" s="182" t="s">
        <v>4</v>
      </c>
      <c r="D33" s="223"/>
      <c r="E33" s="22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2.75">
      <c r="B34" s="49"/>
      <c r="C34" s="47" t="s">
        <v>10</v>
      </c>
      <c r="D34" s="176"/>
      <c r="E34" s="17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19" ht="12.75">
      <c r="B35" s="49"/>
      <c r="C35" s="50" t="s">
        <v>7</v>
      </c>
      <c r="D35" s="177"/>
      <c r="E35" s="186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2:19" ht="12.75">
      <c r="B36" s="51"/>
      <c r="C36" s="47" t="s">
        <v>1</v>
      </c>
      <c r="D36" s="176"/>
      <c r="E36" s="17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19" ht="12.75">
      <c r="B37" s="183"/>
      <c r="C37" s="184" t="s">
        <v>8</v>
      </c>
      <c r="D37" s="185"/>
      <c r="E37" s="187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ht="12.75">
      <c r="B38" s="181">
        <v>3</v>
      </c>
      <c r="C38" s="182" t="s">
        <v>4</v>
      </c>
      <c r="D38" s="223"/>
      <c r="E38" s="224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2:19" ht="12.75">
      <c r="B39" s="49"/>
      <c r="C39" s="47" t="s">
        <v>10</v>
      </c>
      <c r="D39" s="176"/>
      <c r="E39" s="17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2:19" ht="12.75">
      <c r="B40" s="49"/>
      <c r="C40" s="50" t="s">
        <v>7</v>
      </c>
      <c r="D40" s="177"/>
      <c r="E40" s="186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ht="12.75">
      <c r="B41" s="51"/>
      <c r="C41" s="47" t="s">
        <v>1</v>
      </c>
      <c r="D41" s="176"/>
      <c r="E41" s="17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2:19" ht="12.75">
      <c r="B42" s="183"/>
      <c r="C42" s="184" t="s">
        <v>8</v>
      </c>
      <c r="D42" s="185"/>
      <c r="E42" s="187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ht="12.75">
      <c r="B43" s="181">
        <v>4</v>
      </c>
      <c r="C43" s="182" t="s">
        <v>4</v>
      </c>
      <c r="D43" s="223"/>
      <c r="E43" s="224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ht="12.75">
      <c r="B44" s="49"/>
      <c r="C44" s="47" t="s">
        <v>10</v>
      </c>
      <c r="D44" s="176"/>
      <c r="E44" s="17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2:19" ht="12.75">
      <c r="B45" s="49"/>
      <c r="C45" s="50" t="s">
        <v>7</v>
      </c>
      <c r="D45" s="177"/>
      <c r="E45" s="186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2:19" ht="12.75">
      <c r="B46" s="51"/>
      <c r="C46" s="47" t="s">
        <v>1</v>
      </c>
      <c r="D46" s="176"/>
      <c r="E46" s="17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2:19" ht="12.75">
      <c r="B47" s="183"/>
      <c r="C47" s="184" t="s">
        <v>8</v>
      </c>
      <c r="D47" s="185"/>
      <c r="E47" s="187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2:19" ht="12.75">
      <c r="B48" s="181">
        <v>5</v>
      </c>
      <c r="C48" s="182" t="s">
        <v>4</v>
      </c>
      <c r="D48" s="223"/>
      <c r="E48" s="224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2:19" ht="12.75">
      <c r="B49" s="49"/>
      <c r="C49" s="47" t="s">
        <v>10</v>
      </c>
      <c r="D49" s="176"/>
      <c r="E49" s="178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2:19" ht="12.75">
      <c r="B50" s="49"/>
      <c r="C50" s="50" t="s">
        <v>7</v>
      </c>
      <c r="D50" s="177"/>
      <c r="E50" s="186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2:19" ht="12.75">
      <c r="B51" s="51"/>
      <c r="C51" s="47" t="s">
        <v>1</v>
      </c>
      <c r="D51" s="176"/>
      <c r="E51" s="179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2:19" ht="12.75">
      <c r="B52" s="183"/>
      <c r="C52" s="184" t="s">
        <v>8</v>
      </c>
      <c r="D52" s="185"/>
      <c r="E52" s="187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2:19" ht="12.75">
      <c r="B53" s="181">
        <v>6</v>
      </c>
      <c r="C53" s="182" t="s">
        <v>4</v>
      </c>
      <c r="D53" s="223"/>
      <c r="E53" s="22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2:19" ht="12.75">
      <c r="B54" s="49"/>
      <c r="C54" s="47" t="s">
        <v>10</v>
      </c>
      <c r="D54" s="176"/>
      <c r="E54" s="178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2:19" ht="12.75">
      <c r="B55" s="49"/>
      <c r="C55" s="50" t="s">
        <v>7</v>
      </c>
      <c r="D55" s="177"/>
      <c r="E55" s="186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2:19" ht="12.75">
      <c r="B56" s="51"/>
      <c r="C56" s="47" t="s">
        <v>1</v>
      </c>
      <c r="D56" s="176"/>
      <c r="E56" s="179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2:19" ht="12.75">
      <c r="B57" s="183"/>
      <c r="C57" s="184" t="s">
        <v>8</v>
      </c>
      <c r="D57" s="185"/>
      <c r="E57" s="187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2:19" ht="12.75">
      <c r="B58" s="181">
        <v>7</v>
      </c>
      <c r="C58" s="182" t="s">
        <v>4</v>
      </c>
      <c r="D58" s="223"/>
      <c r="E58" s="224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2:19" ht="12.75">
      <c r="B59" s="49"/>
      <c r="C59" s="47" t="s">
        <v>10</v>
      </c>
      <c r="D59" s="176"/>
      <c r="E59" s="178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2:19" ht="12.75">
      <c r="B60" s="49"/>
      <c r="C60" s="50" t="s">
        <v>7</v>
      </c>
      <c r="D60" s="177"/>
      <c r="E60" s="186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2:19" ht="12.75">
      <c r="B61" s="51"/>
      <c r="C61" s="47" t="s">
        <v>1</v>
      </c>
      <c r="D61" s="176"/>
      <c r="E61" s="179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2:19" ht="12.75">
      <c r="B62" s="183"/>
      <c r="C62" s="184" t="s">
        <v>8</v>
      </c>
      <c r="D62" s="185"/>
      <c r="E62" s="187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2:19" ht="12.75">
      <c r="B63" s="181">
        <v>8</v>
      </c>
      <c r="C63" s="182" t="s">
        <v>4</v>
      </c>
      <c r="D63" s="223"/>
      <c r="E63" s="22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2:19" ht="12.75">
      <c r="B64" s="49"/>
      <c r="C64" s="47" t="s">
        <v>10</v>
      </c>
      <c r="D64" s="176"/>
      <c r="E64" s="17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ht="12.75">
      <c r="B65" s="49"/>
      <c r="C65" s="50" t="s">
        <v>7</v>
      </c>
      <c r="D65" s="177"/>
      <c r="E65" s="186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ht="12.75">
      <c r="B66" s="51"/>
      <c r="C66" s="47" t="s">
        <v>1</v>
      </c>
      <c r="D66" s="176"/>
      <c r="E66" s="179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ht="12.75">
      <c r="B67" s="183"/>
      <c r="C67" s="184" t="s">
        <v>8</v>
      </c>
      <c r="D67" s="185"/>
      <c r="E67" s="187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ht="12.75">
      <c r="B68" s="181">
        <v>9</v>
      </c>
      <c r="C68" s="182" t="s">
        <v>4</v>
      </c>
      <c r="D68" s="223"/>
      <c r="E68" s="22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ht="12.75">
      <c r="B69" s="49"/>
      <c r="C69" s="47" t="s">
        <v>10</v>
      </c>
      <c r="D69" s="176"/>
      <c r="E69" s="178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ht="12.75">
      <c r="B70" s="49"/>
      <c r="C70" s="50" t="s">
        <v>7</v>
      </c>
      <c r="D70" s="177"/>
      <c r="E70" s="18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s="7" customFormat="1" ht="15">
      <c r="B71" s="51"/>
      <c r="C71" s="47" t="s">
        <v>1</v>
      </c>
      <c r="D71" s="176"/>
      <c r="E71" s="17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5.75" customHeight="1">
      <c r="B72" s="183"/>
      <c r="C72" s="184" t="s">
        <v>8</v>
      </c>
      <c r="D72" s="185"/>
      <c r="E72" s="187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ht="12.75">
      <c r="B73" s="17"/>
      <c r="C73" s="15"/>
      <c r="D73" s="15"/>
      <c r="E73" s="1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5" ht="12.75">
      <c r="B74" s="17"/>
      <c r="C74" s="15"/>
      <c r="D74" s="15"/>
      <c r="E74" s="16"/>
    </row>
    <row r="75" spans="2:19" s="7" customFormat="1" ht="18">
      <c r="B75" s="87" t="s">
        <v>42</v>
      </c>
      <c r="C75" s="266" t="s">
        <v>31</v>
      </c>
      <c r="D75" s="269"/>
      <c r="E75" s="270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 ht="25.5">
      <c r="B76" s="17"/>
      <c r="C76" s="140" t="s">
        <v>125</v>
      </c>
      <c r="D76" s="97"/>
      <c r="E76" s="188" t="str">
        <f>IF(D76="NEE","U voldoet niet aan de voorwaarden. Het afsluiten van de POH-S module is niet mogelijk."," ")</f>
        <v> 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5" ht="12.75">
      <c r="B77" s="17"/>
      <c r="C77" s="15"/>
      <c r="D77" s="15"/>
      <c r="E77" s="16"/>
    </row>
    <row r="78" spans="2:5" ht="18">
      <c r="B78" s="88" t="s">
        <v>41</v>
      </c>
      <c r="C78" s="278" t="s">
        <v>83</v>
      </c>
      <c r="D78" s="279"/>
      <c r="E78" s="89" t="s">
        <v>3</v>
      </c>
    </row>
    <row r="79" spans="2:5" ht="34.5" customHeight="1">
      <c r="B79" s="21"/>
      <c r="C79" s="242" t="s">
        <v>99</v>
      </c>
      <c r="D79" s="243"/>
      <c r="E79" s="244"/>
    </row>
    <row r="80" spans="2:5" ht="15.75">
      <c r="B80" s="21"/>
      <c r="C80" s="91" t="s">
        <v>84</v>
      </c>
      <c r="D80" s="91"/>
      <c r="E80" s="158"/>
    </row>
    <row r="81" spans="2:5" ht="12.75">
      <c r="B81" s="22"/>
      <c r="C81" s="61" t="s">
        <v>81</v>
      </c>
      <c r="D81" s="97">
        <v>2168</v>
      </c>
      <c r="E81" s="103"/>
    </row>
    <row r="82" spans="2:5" ht="12.75">
      <c r="B82" s="285" t="s">
        <v>13</v>
      </c>
      <c r="C82" s="286"/>
      <c r="D82" s="286"/>
      <c r="E82" s="287"/>
    </row>
    <row r="83" spans="2:5" ht="25.5">
      <c r="B83" s="106"/>
      <c r="C83" s="91" t="s">
        <v>91</v>
      </c>
      <c r="D83" s="107"/>
      <c r="E83" s="125" t="s">
        <v>106</v>
      </c>
    </row>
    <row r="84" spans="2:7" ht="12.75">
      <c r="B84" s="60"/>
      <c r="C84" s="61" t="s">
        <v>64</v>
      </c>
      <c r="D84" s="97" t="s">
        <v>109</v>
      </c>
      <c r="E84" s="149">
        <f>IF(D84="nee",($D$81/2168)*0.09,0)</f>
        <v>0.09</v>
      </c>
      <c r="F84" s="62"/>
      <c r="G84" s="62"/>
    </row>
    <row r="85" spans="2:7" ht="12.75">
      <c r="B85" s="60"/>
      <c r="C85" s="61" t="s">
        <v>63</v>
      </c>
      <c r="D85" s="97" t="s">
        <v>109</v>
      </c>
      <c r="E85" s="149">
        <f>IF(D85="nee",($D$81/2168)*0.03,0)</f>
        <v>0.03</v>
      </c>
      <c r="F85" s="62"/>
      <c r="G85" s="62"/>
    </row>
    <row r="86" spans="2:7" ht="12.75">
      <c r="B86" s="60"/>
      <c r="C86" s="61" t="s">
        <v>86</v>
      </c>
      <c r="D86" s="97" t="s">
        <v>109</v>
      </c>
      <c r="E86" s="150">
        <f>IF(D86="nee",($D$81/2168)*0.06,0)</f>
        <v>0.06</v>
      </c>
      <c r="F86" s="62"/>
      <c r="G86" s="62"/>
    </row>
    <row r="87" spans="2:7" ht="12.75">
      <c r="B87" s="60"/>
      <c r="C87" s="61"/>
      <c r="D87" s="61"/>
      <c r="E87" s="93"/>
      <c r="F87" s="62"/>
      <c r="G87" s="62"/>
    </row>
    <row r="88" spans="2:7" ht="12.75">
      <c r="B88" s="60"/>
      <c r="C88" s="91" t="s">
        <v>88</v>
      </c>
      <c r="D88" s="61"/>
      <c r="E88" s="93"/>
      <c r="F88" s="62"/>
      <c r="G88" s="62"/>
    </row>
    <row r="89" spans="2:7" ht="38.25">
      <c r="B89" s="60"/>
      <c r="C89" s="61" t="s">
        <v>90</v>
      </c>
      <c r="D89" s="97"/>
      <c r="E89" s="125" t="s">
        <v>89</v>
      </c>
      <c r="F89" s="62"/>
      <c r="G89" s="62"/>
    </row>
    <row r="90" spans="2:7" ht="12.75">
      <c r="B90" s="60"/>
      <c r="C90" s="61"/>
      <c r="D90" s="94"/>
      <c r="E90" s="93"/>
      <c r="F90" s="62"/>
      <c r="G90" s="62"/>
    </row>
    <row r="91" spans="2:7" ht="12.75">
      <c r="B91" s="60"/>
      <c r="C91" s="61" t="s">
        <v>33</v>
      </c>
      <c r="D91" s="156">
        <v>0</v>
      </c>
      <c r="E91" s="102"/>
      <c r="F91" s="62"/>
      <c r="G91" s="62"/>
    </row>
    <row r="92" spans="2:7" ht="12.75">
      <c r="B92" s="60"/>
      <c r="C92" s="61" t="s">
        <v>96</v>
      </c>
      <c r="D92" s="95">
        <f>(D91/38)</f>
        <v>0</v>
      </c>
      <c r="E92" s="93" t="s">
        <v>87</v>
      </c>
      <c r="F92" s="75"/>
      <c r="G92" s="75"/>
    </row>
    <row r="93" spans="2:7" ht="12.75">
      <c r="B93" s="60"/>
      <c r="C93" s="130"/>
      <c r="D93" s="145"/>
      <c r="E93" s="90"/>
      <c r="F93" s="62"/>
      <c r="G93" s="62"/>
    </row>
    <row r="94" spans="2:7" ht="12.75">
      <c r="B94" s="60"/>
      <c r="C94" s="146" t="str">
        <f>IF(D97&lt;&gt;" ","Toegekende fte "," ")</f>
        <v> </v>
      </c>
      <c r="D94" s="145"/>
      <c r="E94" s="90"/>
      <c r="F94" s="62"/>
      <c r="G94" s="62"/>
    </row>
    <row r="95" spans="2:7" ht="12.75">
      <c r="B95" s="60"/>
      <c r="C95" s="130" t="str">
        <f>IF(D97&lt;&gt;" ","Toegekende fte POH-S op basis praktijkgrootte"," ")</f>
        <v> </v>
      </c>
      <c r="D95" s="148" t="str">
        <f>IF(D97&lt;&gt;" ",(D81/2168)*0.14," ")</f>
        <v> </v>
      </c>
      <c r="E95" s="90" t="str">
        <f>IF(D97&lt;&gt;" ","formule: (aantal verzekerden / 2.168) *0,14 fte"," ")</f>
        <v> </v>
      </c>
      <c r="F95" s="62"/>
      <c r="G95" s="62"/>
    </row>
    <row r="96" spans="2:7" ht="12.75">
      <c r="B96" s="60"/>
      <c r="C96" s="130" t="str">
        <f>IF(D97&lt;&gt;" ","Toegekende fte POH-S op basis van deelname ketenzorg"," ")</f>
        <v> </v>
      </c>
      <c r="D96" s="148" t="str">
        <f>IF(D97&lt;&gt;" ",(E84+E85+E86)," ")</f>
        <v> </v>
      </c>
      <c r="E96" s="90" t="str">
        <f>IF(D97&lt;&gt;" ",E118," ")</f>
        <v> </v>
      </c>
      <c r="F96" s="62"/>
      <c r="G96" s="62"/>
    </row>
    <row r="97" spans="2:7" ht="12.75">
      <c r="B97" s="60"/>
      <c r="C97" s="130" t="str">
        <f>IF(D97&lt;&gt;" ","Totaal toegekende fte via POH-S module"," ")</f>
        <v> </v>
      </c>
      <c r="D97" s="131" t="str">
        <f>IF(D101=D107,((D101*4)*D81)/(80821.25*1.02)," ")</f>
        <v> </v>
      </c>
      <c r="E97" s="90" t="str">
        <f>IF(D97&lt;&gt;" ","totaal toegekende fte wordt afgerond op 2 cijfers achter de komma"," ")</f>
        <v> </v>
      </c>
      <c r="F97" s="62"/>
      <c r="G97" s="62"/>
    </row>
    <row r="98" spans="2:7" ht="12.75">
      <c r="B98" s="60"/>
      <c r="C98" s="61"/>
      <c r="D98" s="95"/>
      <c r="E98" s="103"/>
      <c r="F98" s="75"/>
      <c r="G98" s="75"/>
    </row>
    <row r="99" spans="2:10" s="124" customFormat="1" ht="12.75" hidden="1">
      <c r="B99" s="121"/>
      <c r="C99" s="132" t="s">
        <v>43</v>
      </c>
      <c r="D99" s="191">
        <f>((D91/38)*(80821.25*1.02)/D81)</f>
        <v>0</v>
      </c>
      <c r="E99" s="133" t="s">
        <v>76</v>
      </c>
      <c r="F99" s="122"/>
      <c r="G99" s="122"/>
      <c r="H99" s="123"/>
      <c r="I99" s="123"/>
      <c r="J99" s="123"/>
    </row>
    <row r="100" spans="2:10" s="129" customFormat="1" ht="12.75">
      <c r="B100" s="126"/>
      <c r="C100" s="291" t="s">
        <v>15</v>
      </c>
      <c r="D100" s="292"/>
      <c r="E100" s="293"/>
      <c r="F100" s="127"/>
      <c r="G100" s="127"/>
      <c r="H100" s="128"/>
      <c r="I100" s="128"/>
      <c r="J100" s="128"/>
    </row>
    <row r="101" spans="2:7" ht="12.75">
      <c r="B101" s="60"/>
      <c r="C101" s="130" t="s">
        <v>40</v>
      </c>
      <c r="D101" s="94">
        <f>IF(D99/4&lt;=D107,D99/4,D107)</f>
        <v>0</v>
      </c>
      <c r="E101" s="90" t="s">
        <v>108</v>
      </c>
      <c r="F101" s="62"/>
      <c r="G101" s="62"/>
    </row>
    <row r="102" spans="2:7" ht="12.75" hidden="1">
      <c r="B102" s="60"/>
      <c r="C102" s="130" t="s">
        <v>127</v>
      </c>
      <c r="D102" s="131"/>
      <c r="E102" s="103"/>
      <c r="F102" s="62"/>
      <c r="G102" s="62"/>
    </row>
    <row r="103" spans="2:7" ht="25.5" hidden="1">
      <c r="B103" s="134"/>
      <c r="C103" s="135" t="s">
        <v>77</v>
      </c>
      <c r="D103" s="136">
        <f>(((E86+E85+E84)*(80821.25*1.02))/4)/D81</f>
        <v>1.7111141028597785</v>
      </c>
      <c r="E103" s="137" t="s">
        <v>38</v>
      </c>
      <c r="F103" s="62"/>
      <c r="G103" s="62"/>
    </row>
    <row r="104" spans="2:7" ht="12.75" hidden="1">
      <c r="B104" s="288"/>
      <c r="C104" s="289"/>
      <c r="D104" s="289"/>
      <c r="E104" s="290"/>
      <c r="F104" s="62"/>
      <c r="G104" s="62"/>
    </row>
    <row r="105" spans="2:7" ht="12.75" hidden="1">
      <c r="B105" s="134"/>
      <c r="C105" s="280" t="s">
        <v>15</v>
      </c>
      <c r="D105" s="281"/>
      <c r="E105" s="282"/>
      <c r="F105" s="62"/>
      <c r="G105" s="62"/>
    </row>
    <row r="106" spans="2:7" ht="12.75" hidden="1">
      <c r="B106" s="134"/>
      <c r="C106" s="132" t="s">
        <v>39</v>
      </c>
      <c r="D106" s="136">
        <f>D103</f>
        <v>1.7111141028597785</v>
      </c>
      <c r="E106" s="138" t="s">
        <v>57</v>
      </c>
      <c r="F106" s="62"/>
      <c r="G106" s="62"/>
    </row>
    <row r="107" spans="2:7" ht="12.75" hidden="1">
      <c r="B107" s="134"/>
      <c r="C107" s="132" t="s">
        <v>12</v>
      </c>
      <c r="D107" s="136">
        <f>(1.33+D106)</f>
        <v>3.041114102859779</v>
      </c>
      <c r="E107" s="139" t="s">
        <v>93</v>
      </c>
      <c r="F107" s="62"/>
      <c r="G107" s="62"/>
    </row>
    <row r="108" spans="2:5" ht="12.75">
      <c r="B108" s="8"/>
      <c r="C108" s="9"/>
      <c r="D108" s="10"/>
      <c r="E108" s="11"/>
    </row>
    <row r="109" spans="2:5" ht="15">
      <c r="B109" s="2"/>
      <c r="C109" s="77" t="s">
        <v>16</v>
      </c>
      <c r="D109" s="27"/>
      <c r="E109" s="26"/>
    </row>
    <row r="110" spans="2:5" ht="15">
      <c r="B110" s="2"/>
      <c r="C110" s="28"/>
      <c r="D110" s="27"/>
      <c r="E110" s="26"/>
    </row>
    <row r="111" spans="2:5" ht="15.75">
      <c r="B111" s="2"/>
      <c r="C111" s="35" t="s">
        <v>17</v>
      </c>
      <c r="D111" s="25"/>
      <c r="E111" s="26"/>
    </row>
    <row r="112" spans="2:5" ht="15">
      <c r="B112" s="2"/>
      <c r="C112" s="29"/>
      <c r="D112" s="25"/>
      <c r="E112" s="26"/>
    </row>
    <row r="113" spans="2:5" ht="30.75" customHeight="1">
      <c r="B113" s="2"/>
      <c r="C113" s="234" t="s">
        <v>61</v>
      </c>
      <c r="D113" s="283"/>
      <c r="E113" s="284"/>
    </row>
    <row r="114" spans="2:5" ht="15.75" thickBot="1">
      <c r="B114" s="12"/>
      <c r="C114" s="83" t="s">
        <v>62</v>
      </c>
      <c r="D114" s="13"/>
      <c r="E114" s="14"/>
    </row>
    <row r="115" s="18" customFormat="1" ht="13.5" thickTop="1">
      <c r="G115" s="24"/>
    </row>
    <row r="116" spans="3:7" s="18" customFormat="1" ht="12.75">
      <c r="C116" s="23"/>
      <c r="G116" s="24"/>
    </row>
    <row r="117" s="18" customFormat="1" ht="12.75">
      <c r="G117" s="24"/>
    </row>
    <row r="118" spans="3:7" s="172" customFormat="1" ht="76.5" hidden="1">
      <c r="C118" s="173"/>
      <c r="D118" s="174"/>
      <c r="E118" s="171" t="s">
        <v>104</v>
      </c>
      <c r="F118" s="174"/>
      <c r="G118" s="175"/>
    </row>
    <row r="119" spans="3:7" s="18" customFormat="1" ht="12.75">
      <c r="C119" s="152"/>
      <c r="D119" s="152"/>
      <c r="E119" s="152"/>
      <c r="F119" s="152"/>
      <c r="G119" s="24"/>
    </row>
    <row r="120" spans="3:7" s="18" customFormat="1" ht="18">
      <c r="C120" s="151"/>
      <c r="D120" s="152"/>
      <c r="E120" s="152"/>
      <c r="F120" s="152"/>
      <c r="G120" s="24"/>
    </row>
    <row r="121" spans="3:7" s="18" customFormat="1" ht="12.75">
      <c r="C121" s="152"/>
      <c r="D121" s="152"/>
      <c r="E121" s="152"/>
      <c r="F121" s="152"/>
      <c r="G121" s="24"/>
    </row>
    <row r="122" spans="3:7" s="18" customFormat="1" ht="18">
      <c r="C122" s="151"/>
      <c r="D122" s="152"/>
      <c r="E122" s="152"/>
      <c r="F122" s="152"/>
      <c r="G122" s="24"/>
    </row>
    <row r="123" spans="3:7" s="18" customFormat="1" ht="13.5">
      <c r="C123" s="153"/>
      <c r="D123" s="152"/>
      <c r="E123" s="152"/>
      <c r="F123" s="152"/>
      <c r="G123" s="24"/>
    </row>
    <row r="124" spans="3:7" s="18" customFormat="1" ht="18">
      <c r="C124" s="153"/>
      <c r="D124" s="152"/>
      <c r="E124" s="152"/>
      <c r="F124" s="154"/>
      <c r="G124" s="24"/>
    </row>
    <row r="125" spans="3:7" s="18" customFormat="1" ht="18">
      <c r="C125" s="153"/>
      <c r="D125" s="152"/>
      <c r="E125" s="152"/>
      <c r="F125" s="154"/>
      <c r="G125" s="24"/>
    </row>
    <row r="126" spans="3:7" s="18" customFormat="1" ht="12.75">
      <c r="C126" s="155"/>
      <c r="D126" s="152"/>
      <c r="E126" s="152"/>
      <c r="F126" s="155"/>
      <c r="G126" s="24"/>
    </row>
    <row r="127" s="18" customFormat="1" ht="12.75">
      <c r="G127" s="24"/>
    </row>
    <row r="128" s="18" customFormat="1" ht="12.75">
      <c r="G128" s="24"/>
    </row>
    <row r="129" s="18" customFormat="1" ht="12.75">
      <c r="G129" s="24"/>
    </row>
    <row r="130" s="18" customFormat="1" ht="12.75">
      <c r="G130" s="24"/>
    </row>
    <row r="131" s="18" customFormat="1" ht="12.75">
      <c r="G131" s="24"/>
    </row>
    <row r="132" s="18" customFormat="1" ht="12.75">
      <c r="G132" s="24"/>
    </row>
    <row r="133" s="18" customFormat="1" ht="12.75">
      <c r="G133" s="24"/>
    </row>
    <row r="134" s="18" customFormat="1" ht="12.75">
      <c r="G134" s="24"/>
    </row>
    <row r="135" s="18" customFormat="1" ht="12.75">
      <c r="G135" s="24"/>
    </row>
    <row r="136" s="18" customFormat="1" ht="12.75">
      <c r="G136" s="24"/>
    </row>
    <row r="137" s="18" customFormat="1" ht="12.75">
      <c r="G137" s="24"/>
    </row>
    <row r="138" s="18" customFormat="1" ht="12.75">
      <c r="G138" s="24"/>
    </row>
    <row r="139" s="18" customFormat="1" ht="12.75">
      <c r="G139" s="24"/>
    </row>
    <row r="140" s="18" customFormat="1" ht="12.75">
      <c r="G140" s="24"/>
    </row>
    <row r="141" s="18" customFormat="1" ht="12.75">
      <c r="G141" s="24"/>
    </row>
    <row r="142" s="18" customFormat="1" ht="12.75">
      <c r="G142" s="24"/>
    </row>
    <row r="143" s="18" customFormat="1" ht="12.75">
      <c r="G143" s="24"/>
    </row>
    <row r="144" s="18" customFormat="1" ht="12.75">
      <c r="G144" s="24"/>
    </row>
    <row r="145" s="18" customFormat="1" ht="12.75">
      <c r="G145" s="24"/>
    </row>
    <row r="146" s="18" customFormat="1" ht="12.75">
      <c r="G146" s="24"/>
    </row>
    <row r="147" s="18" customFormat="1" ht="12.75">
      <c r="G147" s="24"/>
    </row>
    <row r="148" s="18" customFormat="1" ht="12.75">
      <c r="G148" s="24"/>
    </row>
    <row r="149" s="18" customFormat="1" ht="12.75">
      <c r="G149" s="24"/>
    </row>
    <row r="150" s="18" customFormat="1" ht="12.75">
      <c r="G150" s="24"/>
    </row>
    <row r="151" s="18" customFormat="1" ht="12.75">
      <c r="G151" s="24"/>
    </row>
    <row r="152" s="18" customFormat="1" ht="12.75">
      <c r="G152" s="24"/>
    </row>
    <row r="153" s="18" customFormat="1" ht="12.75">
      <c r="G153" s="24"/>
    </row>
    <row r="154" s="18" customFormat="1" ht="12.75">
      <c r="G154" s="24"/>
    </row>
    <row r="155" s="18" customFormat="1" ht="12.75">
      <c r="G155" s="24"/>
    </row>
    <row r="156" s="18" customFormat="1" ht="12.75">
      <c r="G156" s="24"/>
    </row>
    <row r="157" s="18" customFormat="1" ht="12.75">
      <c r="G157" s="24"/>
    </row>
    <row r="158" s="18" customFormat="1" ht="12.75">
      <c r="G158" s="24"/>
    </row>
    <row r="159" s="18" customFormat="1" ht="12.75">
      <c r="G159" s="24"/>
    </row>
    <row r="160" s="18" customFormat="1" ht="12.75">
      <c r="G160" s="24"/>
    </row>
  </sheetData>
  <sheetProtection password="80BB" sheet="1" selectLockedCells="1"/>
  <mergeCells count="27">
    <mergeCell ref="B2:E2"/>
    <mergeCell ref="C13:E13"/>
    <mergeCell ref="B14:B17"/>
    <mergeCell ref="D14:E14"/>
    <mergeCell ref="D16:E16"/>
    <mergeCell ref="D17:E17"/>
    <mergeCell ref="C19:E19"/>
    <mergeCell ref="D20:E20"/>
    <mergeCell ref="C26:E26"/>
    <mergeCell ref="C27:E27"/>
    <mergeCell ref="D28:E28"/>
    <mergeCell ref="D33:E33"/>
    <mergeCell ref="D38:E38"/>
    <mergeCell ref="D43:E43"/>
    <mergeCell ref="D48:E48"/>
    <mergeCell ref="D53:E53"/>
    <mergeCell ref="D58:E58"/>
    <mergeCell ref="D63:E63"/>
    <mergeCell ref="C75:E75"/>
    <mergeCell ref="C78:D78"/>
    <mergeCell ref="D68:E68"/>
    <mergeCell ref="C105:E105"/>
    <mergeCell ref="C113:E113"/>
    <mergeCell ref="C79:E79"/>
    <mergeCell ref="B82:E82"/>
    <mergeCell ref="B104:E104"/>
    <mergeCell ref="C100:E100"/>
  </mergeCells>
  <dataValidations count="5">
    <dataValidation type="textLength" operator="equal" allowBlank="1" showInputMessage="1" showErrorMessage="1" error="Wilt u de code invullen volgens voorbeeld&#10;" sqref="D15:E15">
      <formula1>8</formula1>
    </dataValidation>
    <dataValidation type="list" showInputMessage="1" showErrorMessage="1" sqref="D31 D71 D66 D61 D56 D51 D46 D41 D36 D23">
      <formula1>"Dhr.,Mevr."</formula1>
    </dataValidation>
    <dataValidation allowBlank="1" sqref="D92"/>
    <dataValidation errorStyle="warning" type="decimal" operator="greaterThan" allowBlank="1" showErrorMessage="1" errorTitle="Maximaal bedrag overschreden" error="U mag per verzekerde maximaal € 1,33 per kwartaal declareren. Het aantal aangevraagde uren POH-S resulteert in een hoger kwartaal bedrag, dat niet door Menzis uitbetaald wordt." sqref="D93:D94 D101">
      <formula1>1.334</formula1>
    </dataValidation>
    <dataValidation type="list" showInputMessage="1" showErrorMessage="1" sqref="D76 B104:E104 D84:D86 D89:D90">
      <formula1>"Ja,Nee"</formula1>
    </dataValidation>
  </dataValidations>
  <hyperlinks>
    <hyperlink ref="C111" r:id="rId1" display="Klik hier voor het contactformulie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H6"/>
  <sheetViews>
    <sheetView zoomScalePageLayoutView="0" workbookViewId="0" topLeftCell="A1">
      <selection activeCell="A2" sqref="A2:IV2"/>
    </sheetView>
  </sheetViews>
  <sheetFormatPr defaultColWidth="13.28125" defaultRowHeight="12.75"/>
  <cols>
    <col min="1" max="10" width="13.28125" style="0" customWidth="1"/>
    <col min="11" max="25" width="13.28125" style="197" customWidth="1"/>
  </cols>
  <sheetData>
    <row r="1" spans="1:86" ht="16.5" customHeight="1">
      <c r="A1" s="299" t="s">
        <v>110</v>
      </c>
      <c r="B1" s="300"/>
      <c r="C1" s="300"/>
      <c r="D1" s="300"/>
      <c r="E1" s="300"/>
      <c r="F1" s="300"/>
      <c r="G1" s="300"/>
      <c r="H1" s="300"/>
      <c r="I1" s="300"/>
      <c r="J1" s="300"/>
      <c r="K1" s="300" t="s">
        <v>111</v>
      </c>
      <c r="L1" s="300"/>
      <c r="M1" s="300"/>
      <c r="N1" s="300"/>
      <c r="O1" s="300"/>
      <c r="P1" s="300" t="s">
        <v>112</v>
      </c>
      <c r="Q1" s="300"/>
      <c r="R1" s="300"/>
      <c r="S1" s="300"/>
      <c r="T1" s="300"/>
      <c r="U1" s="300" t="s">
        <v>113</v>
      </c>
      <c r="V1" s="300"/>
      <c r="W1" s="300"/>
      <c r="X1" s="300"/>
      <c r="Y1" s="300"/>
      <c r="Z1" s="300" t="s">
        <v>114</v>
      </c>
      <c r="AA1" s="300"/>
      <c r="AB1" s="300"/>
      <c r="AC1" s="300"/>
      <c r="AD1" s="300"/>
      <c r="AE1" s="300" t="s">
        <v>115</v>
      </c>
      <c r="AF1" s="300"/>
      <c r="AG1" s="300"/>
      <c r="AH1" s="300"/>
      <c r="AI1" s="300"/>
      <c r="AJ1" s="300" t="s">
        <v>116</v>
      </c>
      <c r="AK1" s="300"/>
      <c r="AL1" s="300"/>
      <c r="AM1" s="300"/>
      <c r="AN1" s="300"/>
      <c r="AO1" s="300" t="s">
        <v>117</v>
      </c>
      <c r="AP1" s="300"/>
      <c r="AQ1" s="300"/>
      <c r="AR1" s="300"/>
      <c r="AS1" s="300"/>
      <c r="AT1" s="300" t="s">
        <v>118</v>
      </c>
      <c r="AU1" s="300"/>
      <c r="AV1" s="300"/>
      <c r="AW1" s="300"/>
      <c r="AX1" s="300"/>
      <c r="AY1" s="300" t="s">
        <v>119</v>
      </c>
      <c r="AZ1" s="300"/>
      <c r="BA1" s="300"/>
      <c r="BB1" s="300"/>
      <c r="BC1" s="300"/>
      <c r="BD1" s="300" t="s">
        <v>120</v>
      </c>
      <c r="BE1" s="300"/>
      <c r="BF1" s="300"/>
      <c r="BG1" s="300"/>
      <c r="BH1" s="300"/>
      <c r="BI1" s="300"/>
      <c r="BJ1" s="301" t="s">
        <v>121</v>
      </c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3"/>
      <c r="BV1" s="301" t="s">
        <v>122</v>
      </c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4"/>
    </row>
    <row r="2" spans="1:86" ht="171" customHeight="1">
      <c r="A2" s="192" t="s">
        <v>124</v>
      </c>
      <c r="B2" s="193" t="s">
        <v>27</v>
      </c>
      <c r="C2" s="194" t="s">
        <v>9</v>
      </c>
      <c r="D2" s="193" t="s">
        <v>2</v>
      </c>
      <c r="E2" s="195" t="s">
        <v>123</v>
      </c>
      <c r="F2" s="193" t="s">
        <v>4</v>
      </c>
      <c r="G2" s="193" t="s">
        <v>10</v>
      </c>
      <c r="H2" s="195" t="s">
        <v>7</v>
      </c>
      <c r="I2" s="193" t="s">
        <v>1</v>
      </c>
      <c r="J2" s="193" t="s">
        <v>8</v>
      </c>
      <c r="K2" s="193" t="s">
        <v>4</v>
      </c>
      <c r="L2" s="193" t="s">
        <v>10</v>
      </c>
      <c r="M2" s="195" t="s">
        <v>7</v>
      </c>
      <c r="N2" s="193" t="s">
        <v>1</v>
      </c>
      <c r="O2" s="193" t="s">
        <v>8</v>
      </c>
      <c r="P2" s="193" t="s">
        <v>4</v>
      </c>
      <c r="Q2" s="193" t="s">
        <v>10</v>
      </c>
      <c r="R2" s="195" t="s">
        <v>7</v>
      </c>
      <c r="S2" s="193" t="s">
        <v>1</v>
      </c>
      <c r="T2" s="193" t="s">
        <v>8</v>
      </c>
      <c r="U2" s="193" t="s">
        <v>4</v>
      </c>
      <c r="V2" s="193" t="s">
        <v>10</v>
      </c>
      <c r="W2" s="195" t="s">
        <v>7</v>
      </c>
      <c r="X2" s="193" t="s">
        <v>1</v>
      </c>
      <c r="Y2" s="193" t="s">
        <v>8</v>
      </c>
      <c r="Z2" s="193" t="s">
        <v>4</v>
      </c>
      <c r="AA2" s="193" t="s">
        <v>10</v>
      </c>
      <c r="AB2" s="195" t="s">
        <v>7</v>
      </c>
      <c r="AC2" s="193" t="s">
        <v>1</v>
      </c>
      <c r="AD2" s="193" t="s">
        <v>8</v>
      </c>
      <c r="AE2" s="193" t="s">
        <v>4</v>
      </c>
      <c r="AF2" s="193" t="s">
        <v>10</v>
      </c>
      <c r="AG2" s="195" t="s">
        <v>7</v>
      </c>
      <c r="AH2" s="193" t="s">
        <v>1</v>
      </c>
      <c r="AI2" s="193" t="s">
        <v>8</v>
      </c>
      <c r="AJ2" s="193" t="s">
        <v>4</v>
      </c>
      <c r="AK2" s="193" t="s">
        <v>10</v>
      </c>
      <c r="AL2" s="195" t="s">
        <v>7</v>
      </c>
      <c r="AM2" s="193" t="s">
        <v>1</v>
      </c>
      <c r="AN2" s="193" t="s">
        <v>8</v>
      </c>
      <c r="AO2" s="193" t="s">
        <v>4</v>
      </c>
      <c r="AP2" s="193" t="s">
        <v>10</v>
      </c>
      <c r="AQ2" s="195" t="s">
        <v>7</v>
      </c>
      <c r="AR2" s="193" t="s">
        <v>1</v>
      </c>
      <c r="AS2" s="193" t="s">
        <v>8</v>
      </c>
      <c r="AT2" s="193" t="s">
        <v>4</v>
      </c>
      <c r="AU2" s="193" t="s">
        <v>10</v>
      </c>
      <c r="AV2" s="195" t="s">
        <v>7</v>
      </c>
      <c r="AW2" s="193" t="s">
        <v>1</v>
      </c>
      <c r="AX2" s="193" t="s">
        <v>8</v>
      </c>
      <c r="AY2" s="193" t="s">
        <v>4</v>
      </c>
      <c r="AZ2" s="193" t="s">
        <v>10</v>
      </c>
      <c r="BA2" s="195" t="s">
        <v>7</v>
      </c>
      <c r="BB2" s="193" t="s">
        <v>1</v>
      </c>
      <c r="BC2" s="193" t="s">
        <v>8</v>
      </c>
      <c r="BD2" s="193" t="s">
        <v>94</v>
      </c>
      <c r="BE2" s="196" t="s">
        <v>33</v>
      </c>
      <c r="BF2" s="196" t="s">
        <v>46</v>
      </c>
      <c r="BG2" s="195" t="s">
        <v>26</v>
      </c>
      <c r="BH2" s="195" t="s">
        <v>25</v>
      </c>
      <c r="BI2" s="195" t="s">
        <v>40</v>
      </c>
      <c r="BJ2" s="195" t="s">
        <v>94</v>
      </c>
      <c r="BK2" s="195" t="s">
        <v>47</v>
      </c>
      <c r="BL2" s="195" t="s">
        <v>46</v>
      </c>
      <c r="BM2" s="195" t="s">
        <v>67</v>
      </c>
      <c r="BN2" s="195" t="s">
        <v>69</v>
      </c>
      <c r="BO2" s="195" t="s">
        <v>68</v>
      </c>
      <c r="BP2" s="195" t="s">
        <v>97</v>
      </c>
      <c r="BQ2" s="195" t="s">
        <v>63</v>
      </c>
      <c r="BR2" s="195" t="s">
        <v>86</v>
      </c>
      <c r="BS2" s="195" t="s">
        <v>98</v>
      </c>
      <c r="BT2" s="195" t="s">
        <v>14</v>
      </c>
      <c r="BU2" s="195" t="s">
        <v>40</v>
      </c>
      <c r="BV2" s="195" t="s">
        <v>94</v>
      </c>
      <c r="BW2" s="195" t="s">
        <v>81</v>
      </c>
      <c r="BX2" s="195" t="s">
        <v>64</v>
      </c>
      <c r="BY2" s="195" t="s">
        <v>63</v>
      </c>
      <c r="BZ2" s="195" t="s">
        <v>86</v>
      </c>
      <c r="CA2" s="195" t="s">
        <v>90</v>
      </c>
      <c r="CB2" s="195" t="s">
        <v>33</v>
      </c>
      <c r="CC2" s="195" t="s">
        <v>96</v>
      </c>
      <c r="CD2" s="195" t="s">
        <v>43</v>
      </c>
      <c r="CE2" s="195" t="s">
        <v>40</v>
      </c>
      <c r="CF2" s="195" t="s">
        <v>77</v>
      </c>
      <c r="CG2" s="195" t="s">
        <v>39</v>
      </c>
      <c r="CH2" s="195" t="s">
        <v>12</v>
      </c>
    </row>
    <row r="3" spans="1:86" s="197" customFormat="1" ht="12.75">
      <c r="A3" s="198" t="s">
        <v>120</v>
      </c>
      <c r="B3" s="198">
        <f>IF(ISBLANK((a_praktijk_naam)),"",a_praktijk_naam)</f>
      </c>
      <c r="C3" s="198">
        <f>IF(ISBLANK((a_praktijk_agb)),"",a_praktijk_agb)</f>
      </c>
      <c r="D3" s="198">
        <f>IF(ISBLANK((a_praktijk_plaats)),"",a_praktijk_plaats)</f>
      </c>
      <c r="E3" s="198">
        <f>IF(ISBLANK((a_praktijk_mail)),"",a_praktijk_mail)</f>
      </c>
      <c r="F3" s="198">
        <f>IF(ISBLANK((a_huisarts1_naam)),"",a_huisarts1_naam)</f>
      </c>
      <c r="G3" s="198">
        <f>IF(ISBLANK((a_huisarts1_tv)),"",a_huisarts1_tv)</f>
      </c>
      <c r="H3" s="198">
        <f>IF(ISBLANK((a_huisarts1_vl)),"",a_huisarts1_vl)</f>
      </c>
      <c r="I3" s="198">
        <f>IF(ISBLANK((a_huisarts1_mv)),"",a_huisarts1_mv)</f>
      </c>
      <c r="J3" s="198">
        <f>IF(ISBLANK((a_huisarts1_agb)),"",a_huisarts1_agb)</f>
      </c>
      <c r="K3" s="198">
        <f>IF(ISBLANK((a_huisarts2_naam)),"",a_huisarts2_naam)</f>
      </c>
      <c r="L3" s="198">
        <f>IF(ISBLANK((a_huisarts2_tv)),"",a_huisarts2_tv)</f>
      </c>
      <c r="M3" s="198">
        <f>IF(ISBLANK((a_huisarts2_vl)),"",a_huisarts2_vl)</f>
      </c>
      <c r="N3" s="198">
        <f>IF(ISBLANK((a_huisarts2_mv)),"",a_huisarts2_mv)</f>
      </c>
      <c r="O3" s="198">
        <f>IF(ISBLANK((a_huisarts2_agb)),"",a_huisarts2_agb)</f>
      </c>
      <c r="P3" s="198">
        <f>IF(ISBLANK((a_huisarts3_naam)),"",a_huisarts3_naam)</f>
      </c>
      <c r="Q3" s="198">
        <f>IF(ISBLANK((a_huisarts3_tv)),"",a_huisarts3_tv)</f>
      </c>
      <c r="R3" s="198">
        <f>IF(ISBLANK((a_huisarts3_vl)),"",a_huisarts3_vl)</f>
      </c>
      <c r="S3" s="198">
        <f>IF(ISBLANK((a_huisarts3_mv)),"",a_huisarts3_mv)</f>
      </c>
      <c r="T3" s="198">
        <f>IF(ISBLANK((a_huisarts3_agb)),"",a_huisarts3_agb)</f>
      </c>
      <c r="U3" s="198">
        <f>IF(ISBLANK((a_huisarts4_naam)),"",a_huisarts4_naam)</f>
      </c>
      <c r="V3" s="198">
        <f>IF(ISBLANK((a_huisarts4_tv)),"",a_huisarts4_tv)</f>
      </c>
      <c r="W3" s="198">
        <f>IF(ISBLANK((a_huisarts4_vl)),"",a_huisarts4_vl)</f>
      </c>
      <c r="X3" s="198">
        <f>IF(ISBLANK((a_huisarts4_mv)),"",a_huisarts4_mv)</f>
      </c>
      <c r="Y3" s="198">
        <f>IF(ISBLANK((a_huisarts4_agb)),"",a_huisarts4_agb)</f>
      </c>
      <c r="Z3" s="198">
        <f>IF(ISBLANK((a_huisarts5_naam)),"",a_huisarts5_naam)</f>
      </c>
      <c r="AA3" s="198">
        <f>IF(ISBLANK((a_huisarts5_tv)),"",a_huisarts5_tv)</f>
      </c>
      <c r="AB3" s="198">
        <f>IF(ISBLANK((a_huisarts5_vl)),"",a_huisarts5_vl)</f>
      </c>
      <c r="AC3" s="198">
        <f>IF(ISBLANK((a_huisarts5_mv)),"",a_huisarts5_mv)</f>
      </c>
      <c r="AD3" s="198">
        <f>IF(ISBLANK((a_huisarts5_agb)),"",a_huisarts5_agb)</f>
      </c>
      <c r="AE3" s="198">
        <f>IF(ISBLANK((a_huisarts6_naam)),"",a_huisarts6_naam)</f>
      </c>
      <c r="AF3" s="198">
        <f>IF(ISBLANK((a_huisarts6_tv)),"",a_huisarts6_tv)</f>
      </c>
      <c r="AG3" s="198">
        <f>IF(ISBLANK((a_huisarts6_vl)),"",a_huisarts6_vl)</f>
      </c>
      <c r="AH3" s="198">
        <f>IF(ISBLANK((a_huisarts6_mv)),"",a_huisarts6_mv)</f>
      </c>
      <c r="AI3" s="198">
        <f>IF(ISBLANK((a_huisarts6_agb)),"",a_huisarts6_agb)</f>
      </c>
      <c r="AJ3" s="198">
        <f>IF(ISBLANK((a_huisarts7_naam)),"",a_huisarts7_naam)</f>
      </c>
      <c r="AK3" s="198">
        <f>IF(ISBLANK((a_huisarts7_tv)),"",a_huisarts7_tv)</f>
      </c>
      <c r="AL3" s="198">
        <f>IF(ISBLANK((a_huisarts7_vl)),"",a_huisarts7_vl)</f>
      </c>
      <c r="AM3" s="198">
        <f>IF(ISBLANK((a_huisarts7_mv)),"",a_huisarts7_mv)</f>
      </c>
      <c r="AN3" s="198">
        <f>IF(ISBLANK((a_huisarts7_agb)),"",a_huisarts7_agb)</f>
      </c>
      <c r="AO3" s="198">
        <f>IF(ISBLANK((a_huisarts8_naam)),"",a_huisarts8_naam)</f>
      </c>
      <c r="AP3" s="198">
        <f>IF(ISBLANK((a_huisarts8_tv)),"",a_huisarts8_tv)</f>
      </c>
      <c r="AQ3" s="198">
        <f>IF(ISBLANK((a_huisarts8_vl)),"",a_huisarts8_vl)</f>
      </c>
      <c r="AR3" s="198">
        <f>IF(ISBLANK((a_huisarts8_mv)),"",a_huisarts8_mv)</f>
      </c>
      <c r="AS3" s="198">
        <f>IF(ISBLANK((a_huisarts8_agb)),"",a_huisarts8_agb)</f>
      </c>
      <c r="AT3" s="198">
        <f>IF(ISBLANK((a_huisarts9_naam)),"",a_huisarts9_naam)</f>
      </c>
      <c r="AU3" s="198">
        <f>IF(ISBLANK((a_huisarts9_tv)),"",a_huisarts9_tv)</f>
      </c>
      <c r="AV3" s="198">
        <f>IF(ISBLANK((a_huisarts9_vl)),"",a_huisarts9_vl)</f>
      </c>
      <c r="AW3" s="198">
        <f>IF(ISBLANK((a_huisarts9_mv)),"",a_huisarts9_mv)</f>
      </c>
      <c r="AX3" s="198">
        <f>IF(ISBLANK((a_huisarts9_agb)),"",a_huisarts9_agb)</f>
      </c>
      <c r="AY3" s="198">
        <f>IF(ISBLANK((a_huisarts10_naam)),"",a_huisarts10_naam)</f>
      </c>
      <c r="AZ3" s="198">
        <f>IF(ISBLANK((a_huisarts10_tv)),"",a_huisarts10_tv)</f>
      </c>
      <c r="BA3" s="198">
        <f>IF(ISBLANK((a_huisarts10_vl)),"",a_huisarts10_vl)</f>
      </c>
      <c r="BB3" s="198">
        <f>IF(ISBLANK((a_huisarts10_mv)),"",a_huisarts10_mv)</f>
      </c>
      <c r="BC3" s="198">
        <f>IF(ISBLANK((a_huisarts10_agb)),"",a_huisarts10_agb)</f>
      </c>
      <c r="BD3" s="198" t="str">
        <f>IF(ISBLANK((a_vw1)),"",a_vw1)</f>
        <v>Ja</v>
      </c>
      <c r="BE3" s="198">
        <f>IF(ISBLANK((a_vw2)),"",a_vw2)</f>
        <v>0</v>
      </c>
      <c r="BF3" s="198">
        <f>IF(ISBLANK((a_vw3)),"",a_vw3)</f>
        <v>2168</v>
      </c>
      <c r="BG3" s="198">
        <f>IF(ISBLANK((a_vw4)),"",a_vw4)</f>
        <v>0</v>
      </c>
      <c r="BH3" s="198">
        <f>IF(ISBLANK((a_vw5)),"",a_vw5)</f>
        <v>0</v>
      </c>
      <c r="BI3" s="198">
        <f>IF(ISBLANK((a_vw6)),"",a_vw6)</f>
        <v>0</v>
      </c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</row>
    <row r="4" spans="1:86" s="197" customFormat="1" ht="12.75">
      <c r="A4" s="199" t="s">
        <v>121</v>
      </c>
      <c r="B4" s="199">
        <f>IF(ISBLANK((b_praktijk_naam)),"",b_praktijk_naam)</f>
      </c>
      <c r="C4" s="199">
        <f>IF(ISBLANK((b_praktijk_agb)),"",b_praktijk_agb)</f>
      </c>
      <c r="D4" s="199">
        <f>IF(ISBLANK((b_praktijk_plaats)),"",b_praktijk_plaats)</f>
      </c>
      <c r="E4" s="199">
        <f>IF(ISBLANK((b_praktijk_mail)),"",b_praktijk_mail)</f>
      </c>
      <c r="F4" s="199">
        <f>IF(ISBLANK((b_huisarts1_naam)),"",b_huisarts1_naam)</f>
      </c>
      <c r="G4" s="199">
        <f>IF(ISBLANK((b_huisarts1_tv)),"",b_huisarts1_tv)</f>
      </c>
      <c r="H4" s="199">
        <f>IF(ISBLANK((b_huisarts1_vl)),"",b_huisarts1_vl)</f>
      </c>
      <c r="I4" s="199">
        <f>IF(ISBLANK((b_huisarts1_mv)),"",b_huisarts1_mv)</f>
      </c>
      <c r="J4" s="199">
        <f>IF(ISBLANK((b_huisarts1_agb)),"",b_huisarts1_agb)</f>
      </c>
      <c r="K4" s="199">
        <f>IF(ISBLANK((b_huisarts2_naam)),"",b_huisarts2_naam)</f>
      </c>
      <c r="L4" s="199">
        <f>IF(ISBLANK((b_huisarts2_tv)),"",b_huisarts2_tv)</f>
      </c>
      <c r="M4" s="199">
        <f>IF(ISBLANK((b_huisarts2_vl)),"",b_huisarts2_vl)</f>
      </c>
      <c r="N4" s="199">
        <f>IF(ISBLANK((b_huisarts2_mv)),"",b_huisarts2_mv)</f>
      </c>
      <c r="O4" s="199">
        <f>IF(ISBLANK((b_huisarts2_agb)),"",b_huisarts2_agb)</f>
      </c>
      <c r="P4" s="199">
        <f>IF(ISBLANK((b_huisarts3_naam)),"",b_huisarts3_naam)</f>
      </c>
      <c r="Q4" s="199">
        <f>IF(ISBLANK((b_huisarts3_tv)),"",b_huisarts3_tv)</f>
      </c>
      <c r="R4" s="199">
        <f>IF(ISBLANK((b_huisarts3_vl)),"",b_huisarts3_vl)</f>
      </c>
      <c r="S4" s="199">
        <f>IF(ISBLANK((b_huisarts3_mv)),"",b_huisarts3_mv)</f>
      </c>
      <c r="T4" s="199">
        <f>IF(ISBLANK((b_huisarts3_agb)),"",b_huisarts3_agb)</f>
      </c>
      <c r="U4" s="199">
        <f>IF(ISBLANK((b_huisarts4_naam)),"",b_huisarts4_naam)</f>
      </c>
      <c r="V4" s="199">
        <f>IF(ISBLANK((b_huisarts4_tv)),"",b_huisarts4_tv)</f>
      </c>
      <c r="W4" s="199">
        <f>IF(ISBLANK((b_huisarts4_vl)),"",b_huisarts4_vl)</f>
      </c>
      <c r="X4" s="199">
        <f>IF(ISBLANK((b_huisarts4_mv)),"",b_huisarts4_mv)</f>
      </c>
      <c r="Y4" s="199">
        <f>IF(ISBLANK((b_huisarts4_agb)),"",b_huisarts4_agb)</f>
      </c>
      <c r="Z4" s="199">
        <f>IF(ISBLANK((b_huisarts5_naam)),"",b_huisarts5_naam)</f>
      </c>
      <c r="AA4" s="199">
        <f>IF(ISBLANK((b_huisarts5_tv)),"",b_huisarts5_tv)</f>
      </c>
      <c r="AB4" s="199">
        <f>IF(ISBLANK((b_huisarts5_vl)),"",b_huisarts5_vl)</f>
      </c>
      <c r="AC4" s="199">
        <f>IF(ISBLANK((b_huisarts5_mv)),"",b_huisarts5_mv)</f>
      </c>
      <c r="AD4" s="199">
        <f>IF(ISBLANK((b_huisarts5_agb)),"",b_huisarts5_agb)</f>
      </c>
      <c r="AE4" s="199">
        <f>IF(ISBLANK((b_huisarts6_naam)),"",b_huisarts6_naam)</f>
      </c>
      <c r="AF4" s="199">
        <f>IF(ISBLANK((b_huisarts6_tv)),"",b_huisarts6_tv)</f>
      </c>
      <c r="AG4" s="199">
        <f>IF(ISBLANK((b_huisarts6_vl)),"",b_huisarts6_vl)</f>
      </c>
      <c r="AH4" s="199">
        <f>IF(ISBLANK((b_huisarts6_mv)),"",b_huisarts6_mv)</f>
      </c>
      <c r="AI4" s="199">
        <f>IF(ISBLANK((b_huisarts6_agb)),"",b_huisarts6_agb)</f>
      </c>
      <c r="AJ4" s="199">
        <f>IF(ISBLANK((b_huisarts7_naam)),"",b_huisarts7_naam)</f>
      </c>
      <c r="AK4" s="199">
        <f>IF(ISBLANK((b_huisarts7_tv)),"",b_huisarts7_tv)</f>
      </c>
      <c r="AL4" s="199">
        <f>IF(ISBLANK((b_huisarts7_vl)),"",b_huisarts7_vl)</f>
      </c>
      <c r="AM4" s="199">
        <f>IF(ISBLANK((b_huisarts7_mv)),"",b_huisarts7_mv)</f>
      </c>
      <c r="AN4" s="199">
        <f>IF(ISBLANK((b_huisarts7_agb)),"",b_huisarts7_agb)</f>
      </c>
      <c r="AO4" s="199">
        <f>IF(ISBLANK((b_huisarts8_naam)),"",b_huisarts8_naam)</f>
      </c>
      <c r="AP4" s="199">
        <f>IF(ISBLANK((b_huisarts8_tv)),"",b_huisarts8_tv)</f>
      </c>
      <c r="AQ4" s="199">
        <f>IF(ISBLANK((b_huisarts8_vl)),"",b_huisarts8_vl)</f>
      </c>
      <c r="AR4" s="199">
        <f>IF(ISBLANK((b_huisarts8_mv)),"",b_huisarts8_mv)</f>
      </c>
      <c r="AS4" s="199">
        <f>IF(ISBLANK((b_huisarts8_agb)),"",b_huisarts8_agb)</f>
      </c>
      <c r="AT4" s="199">
        <f>IF(ISBLANK((b_huisarts9_naam)),"",b_huisarts9_naam)</f>
      </c>
      <c r="AU4" s="199">
        <f>IF(ISBLANK((b_huisarts9_tv)),"",b_huisarts9_tv)</f>
      </c>
      <c r="AV4" s="199">
        <f>IF(ISBLANK((b_huisarts9_vl)),"",b_huisarts9_vl)</f>
      </c>
      <c r="AW4" s="199">
        <f>IF(ISBLANK((b_huisarts9_mv)),"",b_huisarts9_mv)</f>
      </c>
      <c r="AX4" s="199">
        <f>IF(ISBLANK((b_huisarts9_agb)),"",b_huisarts9_agb)</f>
      </c>
      <c r="AY4" s="199">
        <f>IF(ISBLANK((b_huisarts10_naam)),"",b_huisarts10_naam)</f>
      </c>
      <c r="AZ4" s="199">
        <f>IF(ISBLANK((b_huisarts10_tv)),"",b_huisarts10_tv)</f>
      </c>
      <c r="BA4" s="199">
        <f>IF(ISBLANK((b_huisarts10_vl)),"",b_huisarts10_vl)</f>
      </c>
      <c r="BB4" s="199">
        <f>IF(ISBLANK((b_huisarts10_mv)),"",b_huisarts10_mv)</f>
      </c>
      <c r="BC4" s="199">
        <f>IF(ISBLANK((b_huisarts10_agb)),"",b_huisarts10_agb)</f>
      </c>
      <c r="BD4" s="199"/>
      <c r="BE4" s="199"/>
      <c r="BF4" s="199"/>
      <c r="BG4" s="199"/>
      <c r="BH4" s="199"/>
      <c r="BI4" s="199"/>
      <c r="BJ4" s="199">
        <f>IF(ISBLANK((b_vw1)),"",b_vw1)</f>
      </c>
      <c r="BK4" s="199">
        <f>IF(ISBLANK((b_vw2)),"",b_vw2)</f>
        <v>0</v>
      </c>
      <c r="BL4" s="199">
        <f>IF(ISBLANK((b_vw3)),"",b_vw3)</f>
        <v>2168</v>
      </c>
      <c r="BM4" s="199">
        <f>IF(ISBLANK((b_vw4)),"",b_vw4)</f>
        <v>0</v>
      </c>
      <c r="BN4" s="199">
        <f>IF(ISBLANK((b_vw5)),"",b_vw5)</f>
        <v>0</v>
      </c>
      <c r="BO4" s="199">
        <f>IF(ISBLANK((b_vw6)),"",b_vw6)</f>
        <v>0</v>
      </c>
      <c r="BP4" s="199" t="str">
        <f>IF(ISBLANK((b_vw7)),"",b_vw7)</f>
        <v>Nee</v>
      </c>
      <c r="BQ4" s="199" t="str">
        <f>IF(ISBLANK((b_vw8)),"",b_vw8)</f>
        <v>Nee</v>
      </c>
      <c r="BR4" s="199" t="str">
        <f>IF(ISBLANK((b_vw9)),"",b_vw9)</f>
        <v>Nee</v>
      </c>
      <c r="BS4" s="199">
        <f>IF(ISBLANK((b_vw10)),"",b_vw10)</f>
        <v>0</v>
      </c>
      <c r="BT4" s="199">
        <f>IF(ISBLANK((b_vw11)),"",b_vw11)</f>
        <v>0</v>
      </c>
      <c r="BU4" s="199">
        <f>IF(ISBLANK((b_vw12)),"",b_vw12)</f>
        <v>0</v>
      </c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</row>
    <row r="5" spans="1:86" s="197" customFormat="1" ht="12.75">
      <c r="A5" s="200" t="s">
        <v>122</v>
      </c>
      <c r="B5" s="200">
        <f>IF(ISBLANK((c_praktijk_naam)),"",c_praktijk_naam)</f>
      </c>
      <c r="C5" s="200">
        <f>IF(ISBLANK((c_praktijk_agb)),"",c_praktijk_agb)</f>
      </c>
      <c r="D5" s="200">
        <f>IF(ISBLANK((c_praktijk_plaats)),"",c_praktijk_plaats)</f>
      </c>
      <c r="E5" s="200">
        <f>IF(ISBLANK((c_praktijk_mail)),"",c_praktijk_mail)</f>
      </c>
      <c r="F5" s="200">
        <f>IF(ISBLANK((c_huisarts1_naam)),"",c_huisarts1_naam)</f>
      </c>
      <c r="G5" s="200">
        <f>IF(ISBLANK((c_huisarts1_tv)),"",c_huisarts1_tv)</f>
      </c>
      <c r="H5" s="200">
        <f>IF(ISBLANK((c_huisarts1_vl)),"",c_huisarts1_vl)</f>
      </c>
      <c r="I5" s="200">
        <f>IF(ISBLANK((c_huisarts1_mv)),"",c_huisarts1_mv)</f>
      </c>
      <c r="J5" s="200">
        <f>IF(ISBLANK((c_huisarts1_agb)),"",c_huisarts1_agb)</f>
      </c>
      <c r="K5" s="200">
        <f>IF(ISBLANK((c_huisarts2_naam)),"",c_huisarts2_naam)</f>
      </c>
      <c r="L5" s="200">
        <f>IF(ISBLANK((c_huisarts2_tv)),"",c_huisarts2_tv)</f>
      </c>
      <c r="M5" s="200">
        <f>IF(ISBLANK((c_huisarts2_vl)),"",c_huisarts2_vl)</f>
      </c>
      <c r="N5" s="200">
        <f>IF(ISBLANK((c_huisarts2_mv)),"",c_huisarts2_mv)</f>
      </c>
      <c r="O5" s="200">
        <f>IF(ISBLANK((c_huisarts2_agb)),"",c_huisarts2_agb)</f>
      </c>
      <c r="P5" s="200">
        <f>IF(ISBLANK((c_huisarts3_naam)),"",c_huisarts3_naam)</f>
      </c>
      <c r="Q5" s="200">
        <f>IF(ISBLANK((c_huisarts3_tv)),"",c_huisarts3_tv)</f>
      </c>
      <c r="R5" s="200">
        <f>IF(ISBLANK((c_huisarts3_vl)),"",c_huisarts3_vl)</f>
      </c>
      <c r="S5" s="200">
        <f>IF(ISBLANK((c_huisarts3_mv)),"",c_huisarts3_mv)</f>
      </c>
      <c r="T5" s="200">
        <f>IF(ISBLANK((c_huisarts3_agb)),"",c_huisarts3_agb)</f>
      </c>
      <c r="U5" s="200">
        <f>IF(ISBLANK((c_huisarts4_naam)),"",c_huisarts4_naam)</f>
      </c>
      <c r="V5" s="200">
        <f>IF(ISBLANK((c_huisarts4_tv)),"",c_huisarts4_tv)</f>
      </c>
      <c r="W5" s="200">
        <f>IF(ISBLANK((c_huisarts4_vl)),"",c_huisarts4_vl)</f>
      </c>
      <c r="X5" s="200">
        <f>IF(ISBLANK((c_huisarts4_mv)),"",c_huisarts4_mv)</f>
      </c>
      <c r="Y5" s="200">
        <f>IF(ISBLANK((c_huisarts4_agb)),"",c_huisarts4_agb)</f>
      </c>
      <c r="Z5" s="200">
        <f>IF(ISBLANK((c_huisarts5_naam)),"",c_huisarts5_naam)</f>
      </c>
      <c r="AA5" s="200">
        <f>IF(ISBLANK((c_huisarts5_tv)),"",c_huisarts5_tv)</f>
      </c>
      <c r="AB5" s="200">
        <f>IF(ISBLANK((c_huisarts5_vl)),"",c_huisarts5_vl)</f>
      </c>
      <c r="AC5" s="200">
        <f>IF(ISBLANK((c_huisarts5_mv)),"",c_huisarts5_mv)</f>
      </c>
      <c r="AD5" s="200">
        <f>IF(ISBLANK((c_huisarts5_agb)),"",c_huisarts5_agb)</f>
      </c>
      <c r="AE5" s="200">
        <f>IF(ISBLANK((c_huisarts6_naam)),"",c_huisarts6_naam)</f>
      </c>
      <c r="AF5" s="200">
        <f>IF(ISBLANK((c_huisarts6_tv)),"",c_huisarts6_tv)</f>
      </c>
      <c r="AG5" s="200">
        <f>IF(ISBLANK((c_huisarts6_vl)),"",c_huisarts6_vl)</f>
      </c>
      <c r="AH5" s="200">
        <f>IF(ISBLANK((c_huisarts6_mv)),"",c_huisarts6_mv)</f>
      </c>
      <c r="AI5" s="200">
        <f>IF(ISBLANK((c_huisarts6_agb)),"",c_huisarts6_agb)</f>
      </c>
      <c r="AJ5" s="200">
        <f>IF(ISBLANK((c_huisarts7_naam)),"",c_huisarts7_naam)</f>
      </c>
      <c r="AK5" s="200">
        <f>IF(ISBLANK((c_huisarts7_tv)),"",c_huisarts7_tv)</f>
      </c>
      <c r="AL5" s="200">
        <f>IF(ISBLANK((c_huisarts7_vl)),"",c_huisarts7_vl)</f>
      </c>
      <c r="AM5" s="200">
        <f>IF(ISBLANK((c_huisarts7_mv)),"",c_huisarts7_mv)</f>
      </c>
      <c r="AN5" s="200">
        <f>IF(ISBLANK((c_huisarts7_agb)),"",c_huisarts7_agb)</f>
      </c>
      <c r="AO5" s="200">
        <f>IF(ISBLANK((c_huisarts8_naam)),"",c_huisarts8_naam)</f>
      </c>
      <c r="AP5" s="200">
        <f>IF(ISBLANK((c_huisarts8_tv)),"",c_huisarts8_tv)</f>
      </c>
      <c r="AQ5" s="200">
        <f>IF(ISBLANK((c_huisarts8_vl)),"",c_huisarts8_vl)</f>
      </c>
      <c r="AR5" s="200">
        <f>IF(ISBLANK((c_huisarts8_mv)),"",c_huisarts8_mv)</f>
      </c>
      <c r="AS5" s="200">
        <f>IF(ISBLANK((c_huisarts8_agb)),"",c_huisarts8_agb)</f>
      </c>
      <c r="AT5" s="200">
        <f>IF(ISBLANK((c_huisarts9_naam)),"",c_huisarts9_naam)</f>
      </c>
      <c r="AU5" s="200">
        <f>IF(ISBLANK((c_huisarts9_tv)),"",c_huisarts9_tv)</f>
      </c>
      <c r="AV5" s="200">
        <f>IF(ISBLANK((c_huisarts9_vl)),"",c_huisarts9_vl)</f>
      </c>
      <c r="AW5" s="200">
        <f>IF(ISBLANK((c_huisarts9_mv)),"",c_huisarts9_mv)</f>
      </c>
      <c r="AX5" s="200">
        <f>IF(ISBLANK((c_huisarts9_agb)),"",c_huisarts9_agb)</f>
      </c>
      <c r="AY5" s="200">
        <f>IF(ISBLANK((c_huisarts10_naam)),"",c_huisarts10_naam)</f>
      </c>
      <c r="AZ5" s="200">
        <f>IF(ISBLANK((c_huisarts10_tv)),"",c_huisarts10_tv)</f>
      </c>
      <c r="BA5" s="200">
        <f>IF(ISBLANK((c_huisarts10_vl)),"",c_huisarts10_vl)</f>
      </c>
      <c r="BB5" s="200">
        <f>IF(ISBLANK((c_huisarts10_mv)),"",c_huisarts10_mv)</f>
      </c>
      <c r="BC5" s="200">
        <f>IF(ISBLANK((c_huisarts10_agb)),"",c_huisarts10_agb)</f>
      </c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>
        <f>IF(ISBLANK((c_vw1)),"",c_vw1)</f>
      </c>
      <c r="BW5" s="200">
        <f>IF(ISBLANK((c_vw2)),"",c_vw2)</f>
        <v>2168</v>
      </c>
      <c r="BX5" s="200" t="str">
        <f>IF(ISBLANK((c_vw3)),"",c_vw3)</f>
        <v>Nee</v>
      </c>
      <c r="BY5" s="200" t="str">
        <f>IF(ISBLANK((c_vw4)),"",c_vw4)</f>
        <v>Nee</v>
      </c>
      <c r="BZ5" s="200" t="str">
        <f>IF(ISBLANK((c_vw5)),"",c_vw5)</f>
        <v>Nee</v>
      </c>
      <c r="CA5" s="200">
        <f>IF(ISBLANK((c_vw6)),"",c_vw6)</f>
      </c>
      <c r="CB5" s="200">
        <f>IF(ISBLANK((c_vw7)),"",c_vw7)</f>
        <v>0</v>
      </c>
      <c r="CC5" s="200">
        <f>IF(ISBLANK((c_vw8)),"",c_vw8)</f>
        <v>0</v>
      </c>
      <c r="CD5" s="200">
        <f>IF(ISBLANK((c_vw9)),"",c_vw9)</f>
        <v>0</v>
      </c>
      <c r="CE5" s="200">
        <f>IF(ISBLANK((c_vw10)),"",c_vw10)</f>
        <v>0</v>
      </c>
      <c r="CF5" s="201">
        <f>IF(ISBLANK((c_vw11)),"",c_vw11)</f>
        <v>1.7111141028597785</v>
      </c>
      <c r="CG5" s="201">
        <f>IF(ISBLANK((c_vw12)),"",c_vw12)</f>
        <v>1.7111141028597785</v>
      </c>
      <c r="CH5" s="201">
        <f>IF(ISBLANK((c_vw13)),"",c_vw13)</f>
        <v>3.041114102859779</v>
      </c>
    </row>
    <row r="6" spans="2:5" ht="12.75">
      <c r="B6" s="197"/>
      <c r="C6" s="197"/>
      <c r="D6" s="197"/>
      <c r="E6" s="197"/>
    </row>
  </sheetData>
  <sheetProtection/>
  <mergeCells count="13">
    <mergeCell ref="BJ1:BU1"/>
    <mergeCell ref="BV1:CH1"/>
    <mergeCell ref="AJ1:AN1"/>
    <mergeCell ref="AO1:AS1"/>
    <mergeCell ref="AT1:AX1"/>
    <mergeCell ref="AY1:BC1"/>
    <mergeCell ref="BD1:BI1"/>
    <mergeCell ref="A1:J1"/>
    <mergeCell ref="K1:O1"/>
    <mergeCell ref="P1:T1"/>
    <mergeCell ref="U1:Y1"/>
    <mergeCell ref="Z1:AD1"/>
    <mergeCell ref="AE1:A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seesingh</dc:creator>
  <cp:keywords/>
  <dc:description/>
  <cp:lastModifiedBy>Wuite, Odette</cp:lastModifiedBy>
  <cp:lastPrinted>2015-11-10T19:31:47Z</cp:lastPrinted>
  <dcterms:created xsi:type="dcterms:W3CDTF">2012-11-20T17:21:30Z</dcterms:created>
  <dcterms:modified xsi:type="dcterms:W3CDTF">2015-11-29T14:42:59Z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